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1700" windowHeight="6540" firstSheet="5" activeTab="5"/>
  </bookViews>
  <sheets>
    <sheet name="Folha Resumo" sheetId="2" state="hidden" r:id="rId1"/>
    <sheet name="Balancete-demonstrativo" sheetId="3" state="hidden" r:id="rId2"/>
    <sheet name="Plan1" sheetId="4" state="hidden" r:id="rId3"/>
    <sheet name="Plan2" sheetId="5" state="hidden" r:id="rId4"/>
    <sheet name="Plan3" sheetId="6" state="hidden" r:id="rId5"/>
    <sheet name="2014" sheetId="7" r:id="rId6"/>
  </sheets>
  <calcPr calcId="125725"/>
</workbook>
</file>

<file path=xl/calcChain.xml><?xml version="1.0" encoding="utf-8"?>
<calcChain xmlns="http://schemas.openxmlformats.org/spreadsheetml/2006/main">
  <c r="K64" i="7"/>
  <c r="J64"/>
  <c r="I64"/>
  <c r="H64"/>
  <c r="D64"/>
  <c r="C64"/>
  <c r="C55"/>
  <c r="C60" s="1"/>
  <c r="C49"/>
  <c r="C38"/>
  <c r="C48"/>
  <c r="C52"/>
  <c r="C58"/>
  <c r="C41"/>
  <c r="C42"/>
  <c r="C40"/>
  <c r="C7"/>
  <c r="L7"/>
  <c r="L8"/>
  <c r="L9"/>
  <c r="L10"/>
  <c r="L11"/>
  <c r="L12"/>
  <c r="L13"/>
  <c r="C27"/>
  <c r="L44"/>
  <c r="I27"/>
  <c r="L45"/>
  <c r="H27"/>
  <c r="L47"/>
  <c r="L53"/>
  <c r="G60"/>
  <c r="F60"/>
  <c r="E60"/>
  <c r="L59"/>
  <c r="L57"/>
  <c r="L56"/>
  <c r="L54"/>
  <c r="L52"/>
  <c r="L51"/>
  <c r="L50"/>
  <c r="L46"/>
  <c r="L41"/>
  <c r="L39"/>
  <c r="I60"/>
  <c r="E37"/>
  <c r="G27"/>
  <c r="G62" s="1"/>
  <c r="F27"/>
  <c r="E27"/>
  <c r="E62" s="1"/>
  <c r="L26"/>
  <c r="L25"/>
  <c r="L24"/>
  <c r="L23"/>
  <c r="L22"/>
  <c r="K27"/>
  <c r="D27"/>
  <c r="K19"/>
  <c r="K37" s="1"/>
  <c r="J19"/>
  <c r="J37" s="1"/>
  <c r="I19"/>
  <c r="I37" s="1"/>
  <c r="H19"/>
  <c r="G19"/>
  <c r="F19"/>
  <c r="E19"/>
  <c r="D19"/>
  <c r="C19"/>
  <c r="C14"/>
  <c r="K19" i="4"/>
  <c r="J19"/>
  <c r="K67"/>
  <c r="K14"/>
  <c r="I65" i="6"/>
  <c r="H65"/>
  <c r="K65"/>
  <c r="K14"/>
  <c r="D61"/>
  <c r="K55"/>
  <c r="K7"/>
  <c r="K9"/>
  <c r="J55"/>
  <c r="J9"/>
  <c r="J7"/>
  <c r="I55"/>
  <c r="I7"/>
  <c r="I9"/>
  <c r="H55"/>
  <c r="H9"/>
  <c r="H7"/>
  <c r="C9"/>
  <c r="C7"/>
  <c r="K21"/>
  <c r="K46"/>
  <c r="K22"/>
  <c r="K34"/>
  <c r="K36"/>
  <c r="K58"/>
  <c r="K38"/>
  <c r="K47"/>
  <c r="K42"/>
  <c r="K39"/>
  <c r="J23"/>
  <c r="J47"/>
  <c r="J48"/>
  <c r="J46"/>
  <c r="J38"/>
  <c r="J40"/>
  <c r="J53"/>
  <c r="J43"/>
  <c r="J34"/>
  <c r="J61" s="1"/>
  <c r="J58"/>
  <c r="J21"/>
  <c r="D36"/>
  <c r="D46"/>
  <c r="L46" s="1"/>
  <c r="D47"/>
  <c r="D58"/>
  <c r="D50"/>
  <c r="D34"/>
  <c r="D43"/>
  <c r="D48"/>
  <c r="D21"/>
  <c r="D55"/>
  <c r="D9"/>
  <c r="D8"/>
  <c r="D7"/>
  <c r="I58"/>
  <c r="I46"/>
  <c r="I38"/>
  <c r="I39"/>
  <c r="I48"/>
  <c r="I34"/>
  <c r="I43"/>
  <c r="I21"/>
  <c r="H47"/>
  <c r="H46"/>
  <c r="H58"/>
  <c r="H21"/>
  <c r="H34"/>
  <c r="H48"/>
  <c r="D19"/>
  <c r="E19"/>
  <c r="F19"/>
  <c r="G19"/>
  <c r="H19"/>
  <c r="I19"/>
  <c r="I32" s="1"/>
  <c r="J19"/>
  <c r="K19"/>
  <c r="C19"/>
  <c r="G61"/>
  <c r="F61"/>
  <c r="E61"/>
  <c r="L60"/>
  <c r="L59"/>
  <c r="L58"/>
  <c r="L57"/>
  <c r="L56"/>
  <c r="L55"/>
  <c r="L54"/>
  <c r="L53"/>
  <c r="L52"/>
  <c r="L51"/>
  <c r="L50"/>
  <c r="L49"/>
  <c r="L45"/>
  <c r="L44"/>
  <c r="L43"/>
  <c r="L42"/>
  <c r="L41"/>
  <c r="L40"/>
  <c r="L39"/>
  <c r="C61"/>
  <c r="L37"/>
  <c r="L36"/>
  <c r="L35"/>
  <c r="H61"/>
  <c r="E32"/>
  <c r="K28"/>
  <c r="I28"/>
  <c r="G28"/>
  <c r="G63" s="1"/>
  <c r="F28"/>
  <c r="F63" s="1"/>
  <c r="E28"/>
  <c r="E63" s="1"/>
  <c r="L27"/>
  <c r="L26"/>
  <c r="L25"/>
  <c r="L24"/>
  <c r="L23"/>
  <c r="L22"/>
  <c r="J28"/>
  <c r="J63" s="1"/>
  <c r="H28"/>
  <c r="H63" s="1"/>
  <c r="D28"/>
  <c r="D63" s="1"/>
  <c r="C28"/>
  <c r="C63" s="1"/>
  <c r="J32"/>
  <c r="H32"/>
  <c r="G14"/>
  <c r="G65" s="1"/>
  <c r="F14"/>
  <c r="E14"/>
  <c r="E65" s="1"/>
  <c r="L13"/>
  <c r="L12"/>
  <c r="L11"/>
  <c r="L10"/>
  <c r="L8"/>
  <c r="C6"/>
  <c r="C14" s="1"/>
  <c r="L23" i="4"/>
  <c r="L24"/>
  <c r="L25"/>
  <c r="L26"/>
  <c r="L27"/>
  <c r="L28"/>
  <c r="K57"/>
  <c r="K42"/>
  <c r="K55"/>
  <c r="K47"/>
  <c r="K49"/>
  <c r="K44"/>
  <c r="K40"/>
  <c r="K48"/>
  <c r="K62"/>
  <c r="L38"/>
  <c r="L50"/>
  <c r="L52"/>
  <c r="L53"/>
  <c r="L54"/>
  <c r="L56"/>
  <c r="L58"/>
  <c r="L61"/>
  <c r="K35"/>
  <c r="K63" s="1"/>
  <c r="K65" s="1"/>
  <c r="K60"/>
  <c r="K21"/>
  <c r="K29" s="1"/>
  <c r="L10"/>
  <c r="L11"/>
  <c r="L12"/>
  <c r="L13"/>
  <c r="K7"/>
  <c r="G63" i="5"/>
  <c r="F63"/>
  <c r="E63"/>
  <c r="L62"/>
  <c r="J62"/>
  <c r="I62"/>
  <c r="J60"/>
  <c r="I60"/>
  <c r="H60"/>
  <c r="D60"/>
  <c r="L60" s="1"/>
  <c r="C60"/>
  <c r="L59"/>
  <c r="I59"/>
  <c r="L58"/>
  <c r="L57"/>
  <c r="J57"/>
  <c r="I57"/>
  <c r="H57"/>
  <c r="L56"/>
  <c r="L55"/>
  <c r="J55"/>
  <c r="I55"/>
  <c r="H55"/>
  <c r="L54"/>
  <c r="L53"/>
  <c r="L52"/>
  <c r="L51"/>
  <c r="J51"/>
  <c r="I51"/>
  <c r="L50"/>
  <c r="J49"/>
  <c r="H49"/>
  <c r="C49"/>
  <c r="L49" s="1"/>
  <c r="J48"/>
  <c r="I48"/>
  <c r="H48"/>
  <c r="L48" s="1"/>
  <c r="J47"/>
  <c r="I47"/>
  <c r="H47"/>
  <c r="D47"/>
  <c r="C47"/>
  <c r="L47" s="1"/>
  <c r="J46"/>
  <c r="H46"/>
  <c r="D46"/>
  <c r="C46"/>
  <c r="L46" s="1"/>
  <c r="J45"/>
  <c r="H45"/>
  <c r="D45"/>
  <c r="C45"/>
  <c r="L45" s="1"/>
  <c r="J44"/>
  <c r="I44"/>
  <c r="H44"/>
  <c r="C44"/>
  <c r="L44" s="1"/>
  <c r="L43"/>
  <c r="H43"/>
  <c r="L42"/>
  <c r="J42"/>
  <c r="L41"/>
  <c r="I41"/>
  <c r="J40"/>
  <c r="I40"/>
  <c r="D40"/>
  <c r="C40"/>
  <c r="L40" s="1"/>
  <c r="C39"/>
  <c r="C63" s="1"/>
  <c r="L38"/>
  <c r="L37"/>
  <c r="J37"/>
  <c r="I37"/>
  <c r="H37"/>
  <c r="H36"/>
  <c r="D36"/>
  <c r="L36" s="1"/>
  <c r="J35"/>
  <c r="J63" s="1"/>
  <c r="I35"/>
  <c r="I63" s="1"/>
  <c r="H35"/>
  <c r="H63" s="1"/>
  <c r="D35"/>
  <c r="D63" s="1"/>
  <c r="E33"/>
  <c r="J29"/>
  <c r="J65" s="1"/>
  <c r="H29"/>
  <c r="H65" s="1"/>
  <c r="G29"/>
  <c r="G65" s="1"/>
  <c r="F29"/>
  <c r="F65" s="1"/>
  <c r="E29"/>
  <c r="E65" s="1"/>
  <c r="L28"/>
  <c r="L27"/>
  <c r="L26"/>
  <c r="L25"/>
  <c r="L24"/>
  <c r="L23"/>
  <c r="J22"/>
  <c r="I22"/>
  <c r="H22"/>
  <c r="D22"/>
  <c r="L22" s="1"/>
  <c r="C22"/>
  <c r="J21"/>
  <c r="I21"/>
  <c r="I29" s="1"/>
  <c r="I65" s="1"/>
  <c r="H21"/>
  <c r="D21"/>
  <c r="D29" s="1"/>
  <c r="D65" s="1"/>
  <c r="C21"/>
  <c r="C29" s="1"/>
  <c r="C65" s="1"/>
  <c r="J19"/>
  <c r="J33" s="1"/>
  <c r="I19"/>
  <c r="I33" s="1"/>
  <c r="H19"/>
  <c r="H33" s="1"/>
  <c r="E19"/>
  <c r="G14"/>
  <c r="G67" s="1"/>
  <c r="F14"/>
  <c r="F67" s="1"/>
  <c r="E14"/>
  <c r="E67" s="1"/>
  <c r="L13"/>
  <c r="L12"/>
  <c r="L11"/>
  <c r="L10"/>
  <c r="J9"/>
  <c r="I9"/>
  <c r="D9"/>
  <c r="L9" s="1"/>
  <c r="I8"/>
  <c r="H8"/>
  <c r="L8" s="1"/>
  <c r="J7"/>
  <c r="I7"/>
  <c r="H7"/>
  <c r="D7"/>
  <c r="L7" s="1"/>
  <c r="L14" s="1"/>
  <c r="C7"/>
  <c r="C6"/>
  <c r="C14" s="1"/>
  <c r="C67" s="1"/>
  <c r="D6" s="1"/>
  <c r="D14" s="1"/>
  <c r="D67" s="1"/>
  <c r="H6" s="1"/>
  <c r="H14" s="1"/>
  <c r="H67" s="1"/>
  <c r="I6" s="1"/>
  <c r="I14" s="1"/>
  <c r="I67" s="1"/>
  <c r="J6" s="1"/>
  <c r="J14" s="1"/>
  <c r="J67" s="1"/>
  <c r="L43" i="7" l="1"/>
  <c r="F62"/>
  <c r="L42"/>
  <c r="L58"/>
  <c r="L55"/>
  <c r="J27"/>
  <c r="K60"/>
  <c r="K62" s="1"/>
  <c r="J60"/>
  <c r="L40"/>
  <c r="J62"/>
  <c r="C62"/>
  <c r="D6" s="1"/>
  <c r="D14" s="1"/>
  <c r="I62"/>
  <c r="H60"/>
  <c r="L48"/>
  <c r="H62"/>
  <c r="D60"/>
  <c r="D62" s="1"/>
  <c r="L49"/>
  <c r="L14"/>
  <c r="L21"/>
  <c r="L27" s="1"/>
  <c r="L38"/>
  <c r="L9" i="6"/>
  <c r="L48"/>
  <c r="L47"/>
  <c r="K61"/>
  <c r="K63" s="1"/>
  <c r="I61"/>
  <c r="I63" s="1"/>
  <c r="F65"/>
  <c r="C65"/>
  <c r="D14" s="1"/>
  <c r="L7"/>
  <c r="L34"/>
  <c r="L38"/>
  <c r="L21"/>
  <c r="L63" i="5"/>
  <c r="L21"/>
  <c r="L29" s="1"/>
  <c r="L35"/>
  <c r="L39"/>
  <c r="J42" i="4"/>
  <c r="L42" s="1"/>
  <c r="J57"/>
  <c r="J9"/>
  <c r="J7"/>
  <c r="I57"/>
  <c r="I9"/>
  <c r="I8"/>
  <c r="I7"/>
  <c r="H8"/>
  <c r="L8" s="1"/>
  <c r="H57"/>
  <c r="L57" s="1"/>
  <c r="H7"/>
  <c r="I33"/>
  <c r="H33"/>
  <c r="I19"/>
  <c r="J33"/>
  <c r="H19"/>
  <c r="J40"/>
  <c r="J44"/>
  <c r="J62"/>
  <c r="J51"/>
  <c r="J47"/>
  <c r="J48"/>
  <c r="J55"/>
  <c r="I55"/>
  <c r="J60"/>
  <c r="J45"/>
  <c r="J49"/>
  <c r="J37"/>
  <c r="J35"/>
  <c r="J63" s="1"/>
  <c r="J65" s="1"/>
  <c r="J46"/>
  <c r="J22"/>
  <c r="J21"/>
  <c r="J29" s="1"/>
  <c r="I48"/>
  <c r="I47"/>
  <c r="I40"/>
  <c r="I51"/>
  <c r="L51" s="1"/>
  <c r="I35"/>
  <c r="I63" s="1"/>
  <c r="I60"/>
  <c r="I44"/>
  <c r="I41"/>
  <c r="L41" s="1"/>
  <c r="I37"/>
  <c r="I21"/>
  <c r="I29" s="1"/>
  <c r="I59"/>
  <c r="L59" s="1"/>
  <c r="I62"/>
  <c r="L62" s="1"/>
  <c r="H48"/>
  <c r="L48" s="1"/>
  <c r="H43"/>
  <c r="L43" s="1"/>
  <c r="H47"/>
  <c r="H60"/>
  <c r="H44"/>
  <c r="H37"/>
  <c r="L37" s="1"/>
  <c r="H35"/>
  <c r="H63" s="1"/>
  <c r="H36"/>
  <c r="H55"/>
  <c r="L55" s="1"/>
  <c r="H49"/>
  <c r="H46"/>
  <c r="H22"/>
  <c r="H45"/>
  <c r="H21"/>
  <c r="H29" s="1"/>
  <c r="C21"/>
  <c r="C22"/>
  <c r="C46"/>
  <c r="L46" s="1"/>
  <c r="C45"/>
  <c r="D60"/>
  <c r="D40"/>
  <c r="D36"/>
  <c r="L36" s="1"/>
  <c r="D35"/>
  <c r="D47"/>
  <c r="D46"/>
  <c r="D45"/>
  <c r="D22"/>
  <c r="D21"/>
  <c r="D9"/>
  <c r="L9" s="1"/>
  <c r="D7"/>
  <c r="C40"/>
  <c r="L40" s="1"/>
  <c r="C49"/>
  <c r="L49" s="1"/>
  <c r="C44"/>
  <c r="L44" s="1"/>
  <c r="C39"/>
  <c r="L39" s="1"/>
  <c r="C60"/>
  <c r="L60" s="1"/>
  <c r="C47"/>
  <c r="L47" s="1"/>
  <c r="C7"/>
  <c r="L7" s="1"/>
  <c r="C6"/>
  <c r="E63"/>
  <c r="F63"/>
  <c r="E33"/>
  <c r="E29"/>
  <c r="E65" s="1"/>
  <c r="D29"/>
  <c r="C29"/>
  <c r="G29"/>
  <c r="E19"/>
  <c r="E14"/>
  <c r="G57" i="3"/>
  <c r="G29"/>
  <c r="F29"/>
  <c r="D29"/>
  <c r="C29"/>
  <c r="G62"/>
  <c r="F62"/>
  <c r="D62"/>
  <c r="C62"/>
  <c r="H61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35"/>
  <c r="G36"/>
  <c r="G35"/>
  <c r="G43"/>
  <c r="G55"/>
  <c r="G44"/>
  <c r="G49"/>
  <c r="G60"/>
  <c r="G47"/>
  <c r="G45"/>
  <c r="G48"/>
  <c r="H22"/>
  <c r="H23"/>
  <c r="H24"/>
  <c r="H25"/>
  <c r="H26"/>
  <c r="H27"/>
  <c r="H21"/>
  <c r="G46"/>
  <c r="G27"/>
  <c r="G42"/>
  <c r="G21"/>
  <c r="G8"/>
  <c r="G7"/>
  <c r="E66"/>
  <c r="E64"/>
  <c r="F44"/>
  <c r="F47"/>
  <c r="F60"/>
  <c r="F55"/>
  <c r="F43"/>
  <c r="F40"/>
  <c r="F48"/>
  <c r="F61"/>
  <c r="F51"/>
  <c r="F38"/>
  <c r="F49"/>
  <c r="F59"/>
  <c r="F46"/>
  <c r="F45"/>
  <c r="F27"/>
  <c r="F42"/>
  <c r="H13"/>
  <c r="H12"/>
  <c r="H10"/>
  <c r="H7"/>
  <c r="H8"/>
  <c r="H11"/>
  <c r="F8"/>
  <c r="F7"/>
  <c r="D47"/>
  <c r="D48"/>
  <c r="D53"/>
  <c r="D54"/>
  <c r="D39"/>
  <c r="D44"/>
  <c r="D40"/>
  <c r="D60"/>
  <c r="H28"/>
  <c r="D46"/>
  <c r="D45"/>
  <c r="D7"/>
  <c r="C9"/>
  <c r="C46"/>
  <c r="C48"/>
  <c r="C47"/>
  <c r="C44"/>
  <c r="C60"/>
  <c r="C39"/>
  <c r="C45"/>
  <c r="C27"/>
  <c r="C7"/>
  <c r="H9"/>
  <c r="C19"/>
  <c r="D19"/>
  <c r="E19"/>
  <c r="E29"/>
  <c r="C33"/>
  <c r="D33"/>
  <c r="E33"/>
  <c r="C9" i="2"/>
  <c r="D10" s="1"/>
  <c r="C14"/>
  <c r="C15"/>
  <c r="D64" i="3"/>
  <c r="H29"/>
  <c r="C26" i="2" s="1"/>
  <c r="E62" i="3"/>
  <c r="E14"/>
  <c r="E6" i="7" l="1"/>
  <c r="E14" s="1"/>
  <c r="E64" s="1"/>
  <c r="F6" s="1"/>
  <c r="F14" s="1"/>
  <c r="F64" s="1"/>
  <c r="G6" s="1"/>
  <c r="G14" s="1"/>
  <c r="G64" s="1"/>
  <c r="H6" s="1"/>
  <c r="H14" s="1"/>
  <c r="L60"/>
  <c r="L62" s="1"/>
  <c r="L28" i="6"/>
  <c r="L61"/>
  <c r="L14"/>
  <c r="D65"/>
  <c r="H6" s="1"/>
  <c r="H14" s="1"/>
  <c r="I6" s="1"/>
  <c r="I14" s="1"/>
  <c r="J6" s="1"/>
  <c r="J14" s="1"/>
  <c r="J65" s="1"/>
  <c r="E67" i="4"/>
  <c r="L21"/>
  <c r="D63"/>
  <c r="L35"/>
  <c r="L45"/>
  <c r="L22"/>
  <c r="I65"/>
  <c r="L65" i="5"/>
  <c r="H65" i="4"/>
  <c r="C14"/>
  <c r="D65"/>
  <c r="L14"/>
  <c r="L29"/>
  <c r="F29"/>
  <c r="F65" s="1"/>
  <c r="C63"/>
  <c r="C65" s="1"/>
  <c r="G63"/>
  <c r="G65" s="1"/>
  <c r="G64" i="3"/>
  <c r="C64"/>
  <c r="H14"/>
  <c r="C14"/>
  <c r="D20" i="2"/>
  <c r="D22" s="1"/>
  <c r="I6" i="7" l="1"/>
  <c r="I14" s="1"/>
  <c r="L63" i="6"/>
  <c r="L63" i="4"/>
  <c r="C67"/>
  <c r="D6" s="1"/>
  <c r="G14"/>
  <c r="G67" s="1"/>
  <c r="L65"/>
  <c r="H62" i="3"/>
  <c r="C27" i="2" s="1"/>
  <c r="D28" s="1"/>
  <c r="D30" s="1"/>
  <c r="F64" i="3"/>
  <c r="C66"/>
  <c r="D6" s="1"/>
  <c r="D14" s="1"/>
  <c r="D66" s="1"/>
  <c r="F6" s="1"/>
  <c r="F14" s="1"/>
  <c r="D14" i="4" l="1"/>
  <c r="D67" s="1"/>
  <c r="H6" s="1"/>
  <c r="H14" s="1"/>
  <c r="H67" s="1"/>
  <c r="I6" s="1"/>
  <c r="I14" s="1"/>
  <c r="I67" s="1"/>
  <c r="J6" s="1"/>
  <c r="J14" s="1"/>
  <c r="J67" s="1"/>
  <c r="J6" i="7"/>
  <c r="J14" s="1"/>
  <c r="K6" s="1"/>
  <c r="K14" s="1"/>
  <c r="F14" i="4"/>
  <c r="F67" s="1"/>
  <c r="F66" i="3"/>
  <c r="G6" s="1"/>
  <c r="G14" s="1"/>
  <c r="G66" s="1"/>
  <c r="H64"/>
  <c r="L6" i="4" l="1"/>
</calcChain>
</file>

<file path=xl/sharedStrings.xml><?xml version="1.0" encoding="utf-8"?>
<sst xmlns="http://schemas.openxmlformats.org/spreadsheetml/2006/main" count="548" uniqueCount="127">
  <si>
    <t>TOTAL</t>
  </si>
  <si>
    <t>DEMOSNTRATIVO DA MOVIMENTAÇÃO FINANCEIRA</t>
  </si>
  <si>
    <t>Saldo Conta Corrente</t>
  </si>
  <si>
    <r>
      <t xml:space="preserve">                           </t>
    </r>
    <r>
      <rPr>
        <b/>
        <sz val="20"/>
        <color indexed="10"/>
        <rFont val="Arial"/>
        <family val="2"/>
      </rPr>
      <t>Associação dos Docentes da UESC</t>
    </r>
  </si>
  <si>
    <t>TOTAL DAS DISPONIBILIDADES</t>
  </si>
  <si>
    <t>RECEITAS APURADAS NO PERÍODO</t>
  </si>
  <si>
    <t>TOTAL DAS DISPONIBILIDADES (1 + 2)</t>
  </si>
  <si>
    <t>Mensalidades</t>
  </si>
  <si>
    <t>Receita de Eventos</t>
  </si>
  <si>
    <t>Empréstimos recebidos</t>
  </si>
  <si>
    <t>TOTAL DAS RECEITAS DO PERÍODO</t>
  </si>
  <si>
    <t>ADUSC - ASSOCIAÇÃO DOS DOCENTES DA UESC</t>
  </si>
  <si>
    <t>DEMONSTRATIVO DAS RECEITAS</t>
  </si>
  <si>
    <t>ORDEM</t>
  </si>
  <si>
    <t>DISCRIMINAÇÃO</t>
  </si>
  <si>
    <t>T O T A L</t>
  </si>
  <si>
    <t>DEMONSTRATIVO DOS CUSTOS FIXOS E VARIÁVEIS</t>
  </si>
  <si>
    <t>F I X O S</t>
  </si>
  <si>
    <t>01</t>
  </si>
  <si>
    <t>02</t>
  </si>
  <si>
    <t>03</t>
  </si>
  <si>
    <t>I.N.S.S.</t>
  </si>
  <si>
    <t>04</t>
  </si>
  <si>
    <t>F.G.T.S.</t>
  </si>
  <si>
    <t>05</t>
  </si>
  <si>
    <t>07</t>
  </si>
  <si>
    <t>08</t>
  </si>
  <si>
    <t>09</t>
  </si>
  <si>
    <t>V A R I Á V E I S</t>
  </si>
  <si>
    <t>06</t>
  </si>
  <si>
    <t>10</t>
  </si>
  <si>
    <t>11</t>
  </si>
  <si>
    <t>12</t>
  </si>
  <si>
    <t>13</t>
  </si>
  <si>
    <t>14</t>
  </si>
  <si>
    <t>TOTAL CUSTOS FIXOS E VARIÁVEIS</t>
  </si>
  <si>
    <t>DÉFICIT/SUPERÁVIT</t>
  </si>
  <si>
    <t>Despesas do Fórum das Ads (restituição)</t>
  </si>
  <si>
    <t>Despesas do Fórum das ADs (restituição)</t>
  </si>
  <si>
    <t>Mensalidades de Associados</t>
  </si>
  <si>
    <t>Doações</t>
  </si>
  <si>
    <t>Contador</t>
  </si>
  <si>
    <t>Plano de Saúde (Secretária)</t>
  </si>
  <si>
    <t>Assessoria Jurídica</t>
  </si>
  <si>
    <t>Contribuição sindical ao ANDES-SN</t>
  </si>
  <si>
    <t>Contribuição ao DIEESE (mensalidade)</t>
  </si>
  <si>
    <t>Material de Escritório</t>
  </si>
  <si>
    <t>Xerox, autenticações, correio</t>
  </si>
  <si>
    <t>Despesas diversas (água, copa, etc.)</t>
  </si>
  <si>
    <t>Vale transporte (secretária e estagiária)</t>
  </si>
  <si>
    <t>Viagens e hospedagens (serviço e congressos)</t>
  </si>
  <si>
    <t>Ticket-Alimentação (secretária/estagiária)</t>
  </si>
  <si>
    <t>Serviços prestados por pessoa jurídica</t>
  </si>
  <si>
    <t>Apoio a eventos (culturais, sindicais, populares)</t>
  </si>
  <si>
    <t>Empréstimo a outras seções sindicais (ADs)</t>
  </si>
  <si>
    <t>Custos fixos</t>
  </si>
  <si>
    <t>Custos variáveis</t>
  </si>
  <si>
    <t>Despesas financeiras (CPMF, tarifas, etc)</t>
  </si>
  <si>
    <t>Ganhos com aplicações</t>
  </si>
  <si>
    <t>DÉFICIT/SUPERÁVIT DO PERÍODO (3 - 4)</t>
  </si>
  <si>
    <t>15</t>
  </si>
  <si>
    <t>16</t>
  </si>
  <si>
    <t>17</t>
  </si>
  <si>
    <t>18</t>
  </si>
  <si>
    <t>19</t>
  </si>
  <si>
    <t>20</t>
  </si>
  <si>
    <t>21</t>
  </si>
  <si>
    <t>22</t>
  </si>
  <si>
    <r>
      <t xml:space="preserve">Presidente da </t>
    </r>
    <r>
      <rPr>
        <b/>
        <sz val="14"/>
        <color indexed="10"/>
        <rFont val="Arial"/>
        <family val="2"/>
      </rPr>
      <t>ADUSC</t>
    </r>
  </si>
  <si>
    <t>EDENILTON SANTANA</t>
  </si>
  <si>
    <t>DESPESAS APURADAS NO PERÍODO</t>
  </si>
  <si>
    <t>TOTAL DAS DESPESAS DO PERÍODO</t>
  </si>
  <si>
    <t>23</t>
  </si>
  <si>
    <t>24</t>
  </si>
  <si>
    <t>25</t>
  </si>
  <si>
    <t>Assinatura de periódicos e aquisição de livros</t>
  </si>
  <si>
    <t>Ganhos com aplicações (poupança, etc)</t>
  </si>
  <si>
    <t>Aplicações (poupança, etc)</t>
  </si>
  <si>
    <t>Fundo de Mobilização ou Solidariedade</t>
  </si>
  <si>
    <t>Doações recebidas</t>
  </si>
  <si>
    <t>Saldo do mês anterior</t>
  </si>
  <si>
    <t>26</t>
  </si>
  <si>
    <t>Despesa com telefone</t>
  </si>
  <si>
    <t>Material de campanha/ADUSC (cartazes, faixas, panfletos)</t>
  </si>
  <si>
    <r>
      <t>Fórum das Ads (</t>
    </r>
    <r>
      <rPr>
        <sz val="9"/>
        <color indexed="8"/>
        <rFont val="Arial"/>
        <family val="2"/>
      </rPr>
      <t>Campanhas, mídia, eventos, reuniões, etc</t>
    </r>
    <r>
      <rPr>
        <sz val="11"/>
        <color indexed="8"/>
        <rFont val="Arial"/>
        <family val="2"/>
      </rPr>
      <t>)</t>
    </r>
  </si>
  <si>
    <r>
      <t>Produção de mídia/ADUSC (</t>
    </r>
    <r>
      <rPr>
        <sz val="9"/>
        <color indexed="8"/>
        <rFont val="Arial"/>
        <family val="2"/>
      </rPr>
      <t>outdoor, jornal, rádio e televisão</t>
    </r>
    <r>
      <rPr>
        <sz val="11"/>
        <color indexed="8"/>
        <rFont val="Arial"/>
        <family val="2"/>
      </rPr>
      <t>)</t>
    </r>
  </si>
  <si>
    <t>Despesas com Diárias</t>
  </si>
  <si>
    <t>Contador (BA) 028684/O</t>
  </si>
  <si>
    <t xml:space="preserve">Contador </t>
  </si>
  <si>
    <t>DISPONIBILIDADE EM (31.03.2009)</t>
  </si>
  <si>
    <t>RESUMO DO PERÍODO DE ABRIL A JUNHO  DE 2009</t>
  </si>
  <si>
    <t>Ilhéus, 20 de julho de 2009</t>
  </si>
  <si>
    <t>JOSÉ VALTER ALVES DA SILVA</t>
  </si>
  <si>
    <t>SETEBRO</t>
  </si>
  <si>
    <t>Salários (secretária)</t>
  </si>
  <si>
    <t>Setembro</t>
  </si>
  <si>
    <t>Outubro</t>
  </si>
  <si>
    <t>Bolsa (estagiário)</t>
  </si>
  <si>
    <t>Assistência odontolôgica</t>
  </si>
  <si>
    <t>Manunteção do site</t>
  </si>
  <si>
    <t>Outros Créditos</t>
  </si>
  <si>
    <t>Promoção de Eventos (encontros, eventos, etc)</t>
  </si>
  <si>
    <t>Despesa com posse</t>
  </si>
  <si>
    <t>Confraternização dos professores</t>
  </si>
  <si>
    <t>EMERSON SILVA</t>
  </si>
  <si>
    <t>____________________________________</t>
  </si>
  <si>
    <t>__________________________</t>
  </si>
  <si>
    <t>Tesoureiro da ADUSC</t>
  </si>
  <si>
    <t>Novembro</t>
  </si>
  <si>
    <t>Dezembro</t>
  </si>
  <si>
    <t>Serviços prestados por pessoa física</t>
  </si>
  <si>
    <t>Aluguel de imóvel (ajuda)</t>
  </si>
  <si>
    <t>27</t>
  </si>
  <si>
    <t>Aquisição de bens</t>
  </si>
  <si>
    <t>Ressarcimento F. das Ads</t>
  </si>
  <si>
    <t>Salários (funcionários)</t>
  </si>
  <si>
    <t>Empréstimo, doações</t>
  </si>
  <si>
    <t>Ressarcimento F. das Ads e F.N.M</t>
  </si>
  <si>
    <t>DEMONSTRATIVO DOS CUSTOS FIXOS E VARIÁVEIS - 2012</t>
  </si>
  <si>
    <t>Dívida ADUFS</t>
  </si>
  <si>
    <t>28</t>
  </si>
  <si>
    <t>Rescisão contratual</t>
  </si>
  <si>
    <t>ADUSB/ADUNEB</t>
  </si>
  <si>
    <t>Ressarcimento /  F. das Ads e F.N.M</t>
  </si>
  <si>
    <t>Despesa com informática/manutenção computadores</t>
  </si>
  <si>
    <t>ADUSB/ADUNEB/ADUFS</t>
  </si>
  <si>
    <t>Plano de Saúde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</si>
</sst>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17">
    <font>
      <sz val="12"/>
      <name val="Times New Roman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4"/>
      <name val="Informal Roman"/>
      <family val="4"/>
    </font>
    <font>
      <b/>
      <sz val="14"/>
      <name val="Informal Roman"/>
      <family val="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4" fontId="4" fillId="3" borderId="1" xfId="0" applyNumberFormat="1" applyFont="1" applyFill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49" fontId="1" fillId="0" borderId="3" xfId="0" applyNumberFormat="1" applyFont="1" applyBorder="1" applyAlignment="1"/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8" fillId="0" borderId="0" xfId="0" applyFont="1" applyAlignment="1"/>
    <xf numFmtId="0" fontId="8" fillId="0" borderId="0" xfId="0" applyFont="1" applyFill="1" applyBorder="1" applyAlignment="1"/>
    <xf numFmtId="0" fontId="7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3" fillId="0" borderId="1" xfId="0" applyFont="1" applyBorder="1"/>
    <xf numFmtId="4" fontId="13" fillId="4" borderId="1" xfId="0" applyNumberFormat="1" applyFont="1" applyFill="1" applyBorder="1"/>
    <xf numFmtId="4" fontId="13" fillId="0" borderId="1" xfId="0" applyNumberFormat="1" applyFont="1" applyBorder="1"/>
    <xf numFmtId="4" fontId="13" fillId="0" borderId="10" xfId="0" applyNumberFormat="1" applyFont="1" applyBorder="1"/>
    <xf numFmtId="49" fontId="4" fillId="0" borderId="3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4" fontId="10" fillId="0" borderId="7" xfId="0" applyNumberFormat="1" applyFont="1" applyBorder="1"/>
    <xf numFmtId="4" fontId="11" fillId="0" borderId="8" xfId="0" applyNumberFormat="1" applyFont="1" applyBorder="1"/>
    <xf numFmtId="49" fontId="13" fillId="0" borderId="11" xfId="0" applyNumberFormat="1" applyFont="1" applyBorder="1" applyAlignment="1">
      <alignment horizontal="center"/>
    </xf>
    <xf numFmtId="0" fontId="13" fillId="4" borderId="1" xfId="0" applyFont="1" applyFill="1" applyBorder="1"/>
    <xf numFmtId="4" fontId="13" fillId="4" borderId="2" xfId="0" applyNumberFormat="1" applyFont="1" applyFill="1" applyBorder="1"/>
    <xf numFmtId="0" fontId="13" fillId="0" borderId="2" xfId="0" applyFont="1" applyBorder="1"/>
    <xf numFmtId="4" fontId="13" fillId="0" borderId="2" xfId="0" applyNumberFormat="1" applyFont="1" applyBorder="1"/>
    <xf numFmtId="4" fontId="1" fillId="0" borderId="0" xfId="0" applyNumberFormat="1" applyFont="1"/>
    <xf numFmtId="4" fontId="13" fillId="0" borderId="12" xfId="0" applyNumberFormat="1" applyFont="1" applyBorder="1"/>
    <xf numFmtId="4" fontId="13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4" fontId="1" fillId="0" borderId="5" xfId="0" applyNumberFormat="1" applyFont="1" applyBorder="1"/>
    <xf numFmtId="0" fontId="1" fillId="0" borderId="6" xfId="0" applyFont="1" applyBorder="1"/>
    <xf numFmtId="0" fontId="13" fillId="0" borderId="1" xfId="0" applyFont="1" applyFill="1" applyBorder="1"/>
    <xf numFmtId="4" fontId="4" fillId="5" borderId="9" xfId="0" applyNumberFormat="1" applyFont="1" applyFill="1" applyBorder="1" applyAlignment="1">
      <alignment vertical="center"/>
    </xf>
    <xf numFmtId="4" fontId="4" fillId="6" borderId="9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left"/>
    </xf>
    <xf numFmtId="4" fontId="13" fillId="0" borderId="13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" fontId="0" fillId="0" borderId="0" xfId="0" applyNumberFormat="1"/>
    <xf numFmtId="164" fontId="4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/>
    <xf numFmtId="164" fontId="0" fillId="0" borderId="0" xfId="0" applyNumberFormat="1"/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1" fillId="0" borderId="29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0" fontId="1" fillId="0" borderId="29" xfId="0" applyFont="1" applyBorder="1" applyAlignment="1"/>
    <xf numFmtId="4" fontId="13" fillId="0" borderId="20" xfId="0" applyNumberFormat="1" applyFont="1" applyBorder="1"/>
    <xf numFmtId="4" fontId="12" fillId="0" borderId="20" xfId="0" applyNumberFormat="1" applyFont="1" applyBorder="1"/>
    <xf numFmtId="4" fontId="13" fillId="0" borderId="32" xfId="0" applyNumberFormat="1" applyFont="1" applyBorder="1"/>
    <xf numFmtId="4" fontId="10" fillId="0" borderId="33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" fillId="0" borderId="29" xfId="0" applyFont="1" applyBorder="1"/>
    <xf numFmtId="4" fontId="10" fillId="0" borderId="34" xfId="0" applyNumberFormat="1" applyFont="1" applyBorder="1" applyAlignment="1">
      <alignment vertical="center"/>
    </xf>
    <xf numFmtId="0" fontId="13" fillId="0" borderId="0" xfId="0" applyFont="1" applyBorder="1"/>
    <xf numFmtId="4" fontId="13" fillId="0" borderId="0" xfId="0" applyNumberFormat="1" applyFont="1" applyBorder="1"/>
    <xf numFmtId="49" fontId="13" fillId="0" borderId="18" xfId="0" applyNumberFormat="1" applyFont="1" applyBorder="1" applyAlignment="1">
      <alignment horizontal="center"/>
    </xf>
    <xf numFmtId="4" fontId="13" fillId="4" borderId="35" xfId="0" applyNumberFormat="1" applyFont="1" applyFill="1" applyBorder="1"/>
    <xf numFmtId="4" fontId="13" fillId="0" borderId="35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/>
    <xf numFmtId="4" fontId="13" fillId="0" borderId="37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4" fillId="0" borderId="28" xfId="0" applyFont="1" applyBorder="1"/>
    <xf numFmtId="4" fontId="6" fillId="0" borderId="2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4" fontId="11" fillId="0" borderId="42" xfId="0" applyNumberFormat="1" applyFont="1" applyBorder="1" applyAlignment="1">
      <alignment horizontal="right" vertical="center"/>
    </xf>
    <xf numFmtId="4" fontId="11" fillId="0" borderId="43" xfId="0" applyNumberFormat="1" applyFont="1" applyBorder="1" applyAlignment="1">
      <alignment horizontal="right" vertical="center"/>
    </xf>
    <xf numFmtId="4" fontId="11" fillId="0" borderId="44" xfId="0" applyNumberFormat="1" applyFont="1" applyBorder="1" applyAlignment="1">
      <alignment horizontal="right"/>
    </xf>
    <xf numFmtId="49" fontId="12" fillId="0" borderId="36" xfId="0" applyNumberFormat="1" applyFont="1" applyBorder="1" applyAlignment="1">
      <alignment horizontal="center"/>
    </xf>
    <xf numFmtId="0" fontId="13" fillId="0" borderId="37" xfId="0" applyFont="1" applyBorder="1"/>
    <xf numFmtId="4" fontId="13" fillId="4" borderId="37" xfId="0" applyNumberFormat="1" applyFont="1" applyFill="1" applyBorder="1"/>
    <xf numFmtId="4" fontId="13" fillId="0" borderId="37" xfId="0" applyNumberFormat="1" applyFont="1" applyBorder="1"/>
    <xf numFmtId="4" fontId="13" fillId="0" borderId="45" xfId="0" applyNumberFormat="1" applyFont="1" applyBorder="1"/>
    <xf numFmtId="4" fontId="13" fillId="0" borderId="46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" fontId="1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" fontId="11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10" fillId="0" borderId="28" xfId="0" applyNumberFormat="1" applyFont="1" applyBorder="1" applyAlignment="1">
      <alignment vertical="center"/>
    </xf>
    <xf numFmtId="4" fontId="11" fillId="0" borderId="39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5" borderId="8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1552575</xdr:colOff>
      <xdr:row>0</xdr:row>
      <xdr:rowOff>857250</xdr:rowOff>
    </xdr:to>
    <xdr:pic>
      <xdr:nvPicPr>
        <xdr:cNvPr id="2056" name="Picture 2" descr="lOGO NOVO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2209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B20" sqref="B20:C20"/>
    </sheetView>
  </sheetViews>
  <sheetFormatPr defaultRowHeight="15.75"/>
  <cols>
    <col min="1" max="1" width="9" style="1"/>
    <col min="2" max="2" width="40.5" style="1" bestFit="1" customWidth="1"/>
    <col min="3" max="3" width="22.875" style="1" customWidth="1"/>
    <col min="4" max="4" width="21" style="1" customWidth="1"/>
  </cols>
  <sheetData>
    <row r="1" spans="1:4" ht="69.75" customHeight="1" thickBot="1">
      <c r="A1" s="6"/>
      <c r="B1" s="154" t="s">
        <v>3</v>
      </c>
      <c r="C1" s="154"/>
      <c r="D1" s="154"/>
    </row>
    <row r="2" spans="1:4" ht="16.5" thickTop="1">
      <c r="A2" s="159"/>
      <c r="B2" s="159"/>
      <c r="C2" s="159"/>
      <c r="D2" s="159"/>
    </row>
    <row r="3" spans="1:4">
      <c r="A3" s="160" t="s">
        <v>1</v>
      </c>
      <c r="B3" s="161"/>
      <c r="C3" s="161"/>
      <c r="D3" s="162"/>
    </row>
    <row r="4" spans="1:4">
      <c r="A4" s="155" t="s">
        <v>90</v>
      </c>
      <c r="B4" s="156"/>
      <c r="C4" s="156"/>
      <c r="D4" s="157"/>
    </row>
    <row r="5" spans="1:4">
      <c r="A5" s="151"/>
      <c r="B5" s="151"/>
      <c r="C5" s="151"/>
      <c r="D5" s="151"/>
    </row>
    <row r="6" spans="1:4">
      <c r="A6" s="8">
        <v>1</v>
      </c>
      <c r="B6" s="158" t="s">
        <v>89</v>
      </c>
      <c r="C6" s="158"/>
      <c r="D6" s="158"/>
    </row>
    <row r="7" spans="1:4" ht="10.5" customHeight="1">
      <c r="A7" s="151"/>
      <c r="B7" s="151"/>
      <c r="C7" s="151"/>
      <c r="D7" s="151"/>
    </row>
    <row r="8" spans="1:4">
      <c r="A8" s="151"/>
      <c r="B8" s="3" t="s">
        <v>77</v>
      </c>
      <c r="C8" s="4">
        <v>384.77</v>
      </c>
      <c r="D8" s="5"/>
    </row>
    <row r="9" spans="1:4">
      <c r="A9" s="151"/>
      <c r="B9" s="3" t="s">
        <v>2</v>
      </c>
      <c r="C9" s="4">
        <f>'Balancete-demonstrativo'!C6</f>
        <v>7005.19</v>
      </c>
      <c r="D9" s="5"/>
    </row>
    <row r="10" spans="1:4">
      <c r="A10" s="151"/>
      <c r="B10" s="152" t="s">
        <v>4</v>
      </c>
      <c r="C10" s="152"/>
      <c r="D10" s="69">
        <f>SUM(C8:C9)</f>
        <v>7389.9599999999991</v>
      </c>
    </row>
    <row r="11" spans="1:4">
      <c r="A11" s="3"/>
      <c r="B11" s="3"/>
      <c r="C11" s="3"/>
      <c r="D11" s="3"/>
    </row>
    <row r="12" spans="1:4">
      <c r="A12" s="8">
        <v>2</v>
      </c>
      <c r="B12" s="158" t="s">
        <v>5</v>
      </c>
      <c r="C12" s="158"/>
      <c r="D12" s="158"/>
    </row>
    <row r="13" spans="1:4">
      <c r="A13" s="151"/>
      <c r="B13" s="151"/>
      <c r="C13" s="151"/>
      <c r="D13" s="151"/>
    </row>
    <row r="14" spans="1:4">
      <c r="A14" s="151"/>
      <c r="B14" s="3" t="s">
        <v>7</v>
      </c>
      <c r="C14" s="4">
        <f>'Balancete-demonstrativo'!C7+'Balancete-demonstrativo'!D7+'Balancete-demonstrativo'!E7</f>
        <v>32855.83</v>
      </c>
      <c r="D14" s="5"/>
    </row>
    <row r="15" spans="1:4">
      <c r="A15" s="151"/>
      <c r="B15" s="3" t="s">
        <v>37</v>
      </c>
      <c r="C15" s="4">
        <f>'Balancete-demonstrativo'!C8+'Balancete-demonstrativo'!D8+'Balancete-demonstrativo'!E8</f>
        <v>0</v>
      </c>
      <c r="D15" s="5"/>
    </row>
    <row r="16" spans="1:4">
      <c r="A16" s="151"/>
      <c r="B16" s="3" t="s">
        <v>9</v>
      </c>
      <c r="C16" s="4">
        <v>0</v>
      </c>
      <c r="D16" s="5"/>
    </row>
    <row r="17" spans="1:5">
      <c r="A17" s="151"/>
      <c r="B17" s="3" t="s">
        <v>40</v>
      </c>
      <c r="C17" s="4">
        <v>0</v>
      </c>
      <c r="D17" s="5"/>
    </row>
    <row r="18" spans="1:5">
      <c r="A18" s="151"/>
      <c r="B18" s="3" t="s">
        <v>8</v>
      </c>
      <c r="C18" s="4">
        <v>0</v>
      </c>
      <c r="D18" s="5"/>
    </row>
    <row r="19" spans="1:5">
      <c r="A19" s="151"/>
      <c r="B19" s="1" t="s">
        <v>58</v>
      </c>
      <c r="C19" s="4">
        <v>0</v>
      </c>
      <c r="D19" s="5"/>
    </row>
    <row r="20" spans="1:5">
      <c r="A20" s="151"/>
      <c r="B20" s="152" t="s">
        <v>10</v>
      </c>
      <c r="C20" s="152"/>
      <c r="D20" s="69">
        <f>SUM(C14:C19)</f>
        <v>32855.83</v>
      </c>
    </row>
    <row r="21" spans="1:5">
      <c r="A21" s="151"/>
      <c r="B21" s="151"/>
      <c r="C21" s="151"/>
      <c r="D21" s="151"/>
    </row>
    <row r="22" spans="1:5">
      <c r="A22" s="9">
        <v>3</v>
      </c>
      <c r="B22" s="10" t="s">
        <v>6</v>
      </c>
      <c r="C22" s="10"/>
      <c r="D22" s="11">
        <f>D10+D20</f>
        <v>40245.79</v>
      </c>
    </row>
    <row r="23" spans="1:5">
      <c r="A23" s="151"/>
      <c r="B23" s="151"/>
      <c r="C23" s="151"/>
      <c r="D23" s="151"/>
    </row>
    <row r="24" spans="1:5">
      <c r="A24" s="8">
        <v>4</v>
      </c>
      <c r="B24" s="158" t="s">
        <v>70</v>
      </c>
      <c r="C24" s="158"/>
      <c r="D24" s="158"/>
    </row>
    <row r="25" spans="1:5">
      <c r="A25" s="151"/>
      <c r="B25" s="151"/>
      <c r="C25" s="151"/>
      <c r="D25" s="151"/>
    </row>
    <row r="26" spans="1:5">
      <c r="A26" s="2"/>
      <c r="B26" s="7" t="s">
        <v>55</v>
      </c>
      <c r="C26" s="27">
        <f>'Balancete-demonstrativo'!H29</f>
        <v>13161.74</v>
      </c>
      <c r="D26" s="2"/>
    </row>
    <row r="27" spans="1:5">
      <c r="A27" s="151"/>
      <c r="B27" s="3" t="s">
        <v>56</v>
      </c>
      <c r="C27" s="4">
        <f>'Balancete-demonstrativo'!H62</f>
        <v>61047.090000000004</v>
      </c>
      <c r="D27" s="5"/>
    </row>
    <row r="28" spans="1:5">
      <c r="A28" s="151"/>
      <c r="B28" s="152" t="s">
        <v>71</v>
      </c>
      <c r="C28" s="152"/>
      <c r="D28" s="4">
        <f>SUM(C26:C27)</f>
        <v>74208.83</v>
      </c>
    </row>
    <row r="29" spans="1:5">
      <c r="A29" s="3"/>
      <c r="B29" s="3"/>
      <c r="C29" s="3"/>
      <c r="D29" s="3"/>
    </row>
    <row r="30" spans="1:5">
      <c r="A30" s="9">
        <v>5</v>
      </c>
      <c r="B30" s="10" t="s">
        <v>59</v>
      </c>
      <c r="C30" s="10"/>
      <c r="D30" s="11">
        <f>D22-D28</f>
        <v>-33963.040000000001</v>
      </c>
      <c r="E30" s="72"/>
    </row>
    <row r="31" spans="1:5">
      <c r="A31" s="151"/>
      <c r="B31" s="151"/>
      <c r="C31" s="151"/>
      <c r="D31" s="151"/>
    </row>
    <row r="33" spans="1:7" ht="18">
      <c r="A33" s="153" t="s">
        <v>91</v>
      </c>
      <c r="B33" s="153"/>
      <c r="C33" s="153"/>
      <c r="D33" s="153"/>
      <c r="E33" s="23"/>
      <c r="F33" s="23"/>
      <c r="G33" s="23"/>
    </row>
    <row r="34" spans="1:7">
      <c r="E34" s="1"/>
      <c r="F34" s="1"/>
      <c r="G34" s="1"/>
    </row>
    <row r="35" spans="1:7" ht="16.5" thickBot="1">
      <c r="A35" s="150"/>
      <c r="B35" s="150"/>
      <c r="E35" s="1"/>
      <c r="F35" s="1"/>
      <c r="G35" s="1"/>
    </row>
    <row r="36" spans="1:7" ht="15.75" customHeight="1">
      <c r="A36" s="149" t="s">
        <v>69</v>
      </c>
      <c r="B36" s="149"/>
      <c r="E36" s="1"/>
      <c r="F36" s="1"/>
      <c r="G36" s="1"/>
    </row>
    <row r="37" spans="1:7" ht="15.75" customHeight="1">
      <c r="A37" s="148" t="s">
        <v>88</v>
      </c>
      <c r="B37" s="148"/>
      <c r="E37" s="1"/>
      <c r="F37" s="1"/>
      <c r="G37" s="1"/>
    </row>
    <row r="38" spans="1:7" ht="16.5" thickBot="1">
      <c r="A38" s="25"/>
      <c r="B38" s="26"/>
      <c r="C38" s="150"/>
      <c r="D38" s="150"/>
      <c r="E38" s="25"/>
      <c r="F38" s="25"/>
      <c r="G38" s="25"/>
    </row>
    <row r="39" spans="1:7" ht="18">
      <c r="B39" s="24"/>
      <c r="C39" s="149" t="s">
        <v>92</v>
      </c>
      <c r="D39" s="149"/>
      <c r="E39" s="24"/>
      <c r="F39" s="24"/>
      <c r="G39" s="24"/>
    </row>
    <row r="40" spans="1:7" ht="18">
      <c r="B40" s="22"/>
      <c r="C40" s="148" t="s">
        <v>68</v>
      </c>
      <c r="D40" s="148"/>
      <c r="E40" s="22"/>
      <c r="F40" s="22"/>
      <c r="G40" s="22"/>
    </row>
    <row r="41" spans="1:7">
      <c r="E41" s="1"/>
      <c r="F41" s="1"/>
      <c r="G41" s="1"/>
    </row>
  </sheetData>
  <mergeCells count="27">
    <mergeCell ref="A8:A10"/>
    <mergeCell ref="A23:D23"/>
    <mergeCell ref="B24:D24"/>
    <mergeCell ref="A2:D2"/>
    <mergeCell ref="A3:D3"/>
    <mergeCell ref="B10:C10"/>
    <mergeCell ref="B12:D12"/>
    <mergeCell ref="A13:D13"/>
    <mergeCell ref="A21:D21"/>
    <mergeCell ref="A14:A20"/>
    <mergeCell ref="B20:C20"/>
    <mergeCell ref="B1:D1"/>
    <mergeCell ref="A4:D4"/>
    <mergeCell ref="A5:D5"/>
    <mergeCell ref="B6:D6"/>
    <mergeCell ref="A7:D7"/>
    <mergeCell ref="A27:A28"/>
    <mergeCell ref="B28:C28"/>
    <mergeCell ref="A31:D31"/>
    <mergeCell ref="A33:D33"/>
    <mergeCell ref="A25:D25"/>
    <mergeCell ref="C40:D40"/>
    <mergeCell ref="C39:D39"/>
    <mergeCell ref="C38:D38"/>
    <mergeCell ref="A35:B35"/>
    <mergeCell ref="A36:B36"/>
    <mergeCell ref="A37:B37"/>
  </mergeCells>
  <phoneticPr fontId="0" type="noConversion"/>
  <pageMargins left="0.6" right="0.39370078740157483" top="0.98425196850393704" bottom="0.98425196850393704" header="0.51181102362204722" footer="0.51181102362204722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49" sqref="D49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5" width="11.125" style="1" hidden="1" customWidth="1"/>
    <col min="6" max="7" width="11.125" style="1" customWidth="1"/>
    <col min="8" max="8" width="10.125" style="1" bestFit="1" customWidth="1"/>
  </cols>
  <sheetData>
    <row r="1" spans="1:8" ht="16.5" thickTop="1">
      <c r="A1" s="163" t="s">
        <v>11</v>
      </c>
      <c r="B1" s="164"/>
      <c r="C1" s="164"/>
      <c r="D1" s="164"/>
      <c r="E1" s="164"/>
      <c r="F1" s="164"/>
      <c r="G1" s="164"/>
      <c r="H1" s="164"/>
    </row>
    <row r="2" spans="1:8" ht="16.5" thickBot="1">
      <c r="A2" s="165"/>
      <c r="B2" s="166"/>
      <c r="C2" s="166"/>
      <c r="D2" s="166"/>
      <c r="E2" s="166"/>
      <c r="F2" s="166"/>
      <c r="G2" s="166"/>
      <c r="H2" s="166"/>
    </row>
    <row r="3" spans="1:8" ht="17.25" thickTop="1" thickBot="1">
      <c r="A3" s="169"/>
      <c r="B3" s="170"/>
      <c r="C3" s="170"/>
      <c r="D3" s="170"/>
      <c r="E3" s="170"/>
      <c r="F3" s="170"/>
      <c r="G3" s="170"/>
      <c r="H3" s="170"/>
    </row>
    <row r="4" spans="1:8" ht="24" customHeight="1" thickTop="1" thickBot="1">
      <c r="A4" s="176" t="s">
        <v>12</v>
      </c>
      <c r="B4" s="180"/>
      <c r="C4" s="180"/>
      <c r="D4" s="180"/>
      <c r="E4" s="180"/>
      <c r="F4" s="180"/>
      <c r="G4" s="180"/>
      <c r="H4" s="177"/>
    </row>
    <row r="5" spans="1:8" ht="27.75" customHeight="1" thickTop="1" thickBot="1">
      <c r="A5" s="75" t="s">
        <v>13</v>
      </c>
      <c r="B5" s="18" t="s">
        <v>14</v>
      </c>
      <c r="C5" s="73" t="s">
        <v>95</v>
      </c>
      <c r="D5" s="73" t="s">
        <v>96</v>
      </c>
      <c r="E5" s="73" t="s">
        <v>93</v>
      </c>
      <c r="F5" s="73" t="s">
        <v>108</v>
      </c>
      <c r="G5" s="73" t="s">
        <v>109</v>
      </c>
      <c r="H5" s="74" t="s">
        <v>15</v>
      </c>
    </row>
    <row r="6" spans="1:8" ht="17.25" customHeight="1" thickTop="1">
      <c r="A6" s="63">
        <v>1</v>
      </c>
      <c r="B6" s="56" t="s">
        <v>80</v>
      </c>
      <c r="C6" s="57">
        <v>7005.19</v>
      </c>
      <c r="D6" s="57">
        <f>C$66</f>
        <v>12635.729999999994</v>
      </c>
      <c r="E6" s="57">
        <v>0</v>
      </c>
      <c r="F6" s="86">
        <f>D66</f>
        <v>7080.1499999999905</v>
      </c>
      <c r="G6" s="86">
        <f>F66</f>
        <v>6072.4099999999889</v>
      </c>
      <c r="H6" s="58"/>
    </row>
    <row r="7" spans="1:8" ht="17.25" customHeight="1">
      <c r="A7" s="64">
        <v>2</v>
      </c>
      <c r="B7" s="53" t="s">
        <v>39</v>
      </c>
      <c r="C7" s="54">
        <f>1434.34+15001.22</f>
        <v>16435.559999999998</v>
      </c>
      <c r="D7" s="54">
        <f>1434.34+14985.93</f>
        <v>16420.27</v>
      </c>
      <c r="E7" s="54">
        <v>0</v>
      </c>
      <c r="F7" s="87">
        <f>1579.39+15980.64</f>
        <v>17560.03</v>
      </c>
      <c r="G7" s="87">
        <f>1530.8+16037.08</f>
        <v>17567.88</v>
      </c>
      <c r="H7" s="55">
        <f>SUM(C7:G7)</f>
        <v>67983.740000000005</v>
      </c>
    </row>
    <row r="8" spans="1:8">
      <c r="A8" s="65">
        <v>3</v>
      </c>
      <c r="B8" s="28" t="s">
        <v>38</v>
      </c>
      <c r="C8" s="45">
        <v>0</v>
      </c>
      <c r="D8" s="45">
        <v>0</v>
      </c>
      <c r="E8" s="45">
        <v>0</v>
      </c>
      <c r="F8" s="87">
        <f>1022.63+1022.63+2249.12</f>
        <v>4294.38</v>
      </c>
      <c r="G8" s="87">
        <f>1681.87</f>
        <v>1681.87</v>
      </c>
      <c r="H8" s="55">
        <f>SUM(C8:G8)</f>
        <v>5976.25</v>
      </c>
    </row>
    <row r="9" spans="1:8">
      <c r="A9" s="65">
        <v>4</v>
      </c>
      <c r="B9" s="29" t="s">
        <v>100</v>
      </c>
      <c r="C9" s="70">
        <f>168.75+587.75</f>
        <v>756.5</v>
      </c>
      <c r="D9" s="45">
        <v>0</v>
      </c>
      <c r="E9" s="45">
        <v>0</v>
      </c>
      <c r="F9" s="87">
        <v>0</v>
      </c>
      <c r="G9" s="87">
        <v>595</v>
      </c>
      <c r="H9" s="55">
        <f t="shared" ref="H9" si="0">SUM(C9:E9)</f>
        <v>756.5</v>
      </c>
    </row>
    <row r="10" spans="1:8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>
        <v>0</v>
      </c>
      <c r="G10" s="87"/>
      <c r="H10" s="55">
        <f>SUM(C10:F10)</f>
        <v>0</v>
      </c>
    </row>
    <row r="11" spans="1:8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>
        <v>52</v>
      </c>
      <c r="G11" s="87"/>
      <c r="H11" s="55">
        <f>SUM(C11:F11)</f>
        <v>52</v>
      </c>
    </row>
    <row r="12" spans="1:8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>
        <v>0</v>
      </c>
      <c r="G12" s="87"/>
      <c r="H12" s="55">
        <f>SUM(C12:F12)</f>
        <v>0</v>
      </c>
    </row>
    <row r="13" spans="1:8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>
        <v>0</v>
      </c>
      <c r="G13" s="88"/>
      <c r="H13" s="109">
        <f>SUM(C13:F13)</f>
        <v>0</v>
      </c>
    </row>
    <row r="14" spans="1:8" ht="16.5" thickBot="1">
      <c r="A14" s="167" t="s">
        <v>0</v>
      </c>
      <c r="B14" s="168"/>
      <c r="C14" s="114">
        <f>SUM(C6:C13)</f>
        <v>24197.249999999996</v>
      </c>
      <c r="D14" s="114">
        <f>SUM(D6:D13)</f>
        <v>29055.999999999993</v>
      </c>
      <c r="E14" s="114">
        <f>SUM(E6:E13)</f>
        <v>0</v>
      </c>
      <c r="F14" s="115">
        <f>SUM(F6:F13)</f>
        <v>28986.55999999999</v>
      </c>
      <c r="G14" s="115">
        <f>SUM(G6:G13)</f>
        <v>25917.159999999989</v>
      </c>
      <c r="H14" s="116">
        <f>SUM(H7:H13)</f>
        <v>74768.490000000005</v>
      </c>
    </row>
    <row r="15" spans="1:8" ht="16.5" thickBot="1">
      <c r="A15" s="110"/>
      <c r="B15" s="111"/>
      <c r="C15" s="112"/>
      <c r="D15" s="112"/>
      <c r="E15" s="112"/>
      <c r="F15" s="112"/>
      <c r="G15" s="112"/>
      <c r="H15" s="113"/>
    </row>
    <row r="16" spans="1:8" ht="24.75" customHeight="1" thickTop="1" thickBot="1">
      <c r="A16" s="176" t="s">
        <v>16</v>
      </c>
      <c r="B16" s="180"/>
      <c r="C16" s="180"/>
      <c r="D16" s="180"/>
      <c r="E16" s="180"/>
      <c r="F16" s="180"/>
      <c r="G16" s="180"/>
      <c r="H16" s="177"/>
    </row>
    <row r="17" spans="1:10" ht="17.25" thickTop="1" thickBot="1">
      <c r="A17" s="169"/>
      <c r="B17" s="170"/>
      <c r="C17" s="170"/>
      <c r="D17" s="170"/>
      <c r="E17" s="170"/>
      <c r="F17" s="170"/>
      <c r="G17" s="170"/>
      <c r="H17" s="171"/>
    </row>
    <row r="18" spans="1:10" ht="19.899999999999999" customHeight="1" thickTop="1" thickBot="1">
      <c r="A18" s="176" t="s">
        <v>17</v>
      </c>
      <c r="B18" s="180"/>
      <c r="C18" s="180"/>
      <c r="D18" s="180"/>
      <c r="E18" s="180"/>
      <c r="F18" s="180"/>
      <c r="G18" s="180"/>
      <c r="H18" s="177"/>
    </row>
    <row r="19" spans="1:10" ht="31.5" thickTop="1" thickBot="1">
      <c r="A19" s="76" t="s">
        <v>13</v>
      </c>
      <c r="B19" s="19" t="s">
        <v>14</v>
      </c>
      <c r="C19" s="73" t="str">
        <f>C5</f>
        <v>Setembro</v>
      </c>
      <c r="D19" s="73" t="str">
        <f>D5</f>
        <v>Outubro</v>
      </c>
      <c r="E19" s="73" t="str">
        <f>E5</f>
        <v>SETEBRO</v>
      </c>
      <c r="F19" s="73" t="s">
        <v>108</v>
      </c>
      <c r="G19" s="73" t="s">
        <v>109</v>
      </c>
      <c r="H19" s="73" t="s">
        <v>15</v>
      </c>
    </row>
    <row r="20" spans="1:10" ht="16.5" thickTop="1">
      <c r="A20" s="12"/>
      <c r="B20" s="13"/>
      <c r="C20" s="13"/>
      <c r="D20" s="13"/>
      <c r="E20" s="13"/>
      <c r="F20" s="89"/>
      <c r="G20" s="89"/>
      <c r="H20" s="14"/>
    </row>
    <row r="21" spans="1:10">
      <c r="A21" s="66" t="s">
        <v>18</v>
      </c>
      <c r="B21" s="30" t="s">
        <v>94</v>
      </c>
      <c r="C21" s="31">
        <v>703.8</v>
      </c>
      <c r="D21" s="32">
        <v>703.8</v>
      </c>
      <c r="E21" s="32">
        <v>0</v>
      </c>
      <c r="F21" s="90">
        <v>703.8</v>
      </c>
      <c r="G21" s="90">
        <f>1089.3+218.01</f>
        <v>1307.31</v>
      </c>
      <c r="H21" s="33">
        <f>SUM(C21:G21)</f>
        <v>3418.7099999999996</v>
      </c>
    </row>
    <row r="22" spans="1:10">
      <c r="A22" s="66" t="s">
        <v>19</v>
      </c>
      <c r="B22" s="30" t="s">
        <v>42</v>
      </c>
      <c r="C22" s="31">
        <v>150</v>
      </c>
      <c r="D22" s="32">
        <v>150</v>
      </c>
      <c r="E22" s="32">
        <v>0</v>
      </c>
      <c r="F22" s="90">
        <v>150</v>
      </c>
      <c r="G22" s="90">
        <v>150</v>
      </c>
      <c r="H22" s="33">
        <f t="shared" ref="H22:H27" si="1">SUM(C22:G22)</f>
        <v>600</v>
      </c>
    </row>
    <row r="23" spans="1:10">
      <c r="A23" s="66" t="s">
        <v>20</v>
      </c>
      <c r="B23" s="30" t="s">
        <v>21</v>
      </c>
      <c r="C23" s="31">
        <v>225.67</v>
      </c>
      <c r="D23" s="32">
        <v>238.34</v>
      </c>
      <c r="E23" s="32">
        <v>0</v>
      </c>
      <c r="F23" s="90">
        <v>225.67</v>
      </c>
      <c r="G23" s="90">
        <v>225.67</v>
      </c>
      <c r="H23" s="33">
        <f t="shared" si="1"/>
        <v>915.34999999999991</v>
      </c>
    </row>
    <row r="24" spans="1:10">
      <c r="A24" s="66" t="s">
        <v>22</v>
      </c>
      <c r="B24" s="30" t="s">
        <v>23</v>
      </c>
      <c r="C24" s="31">
        <v>61.2</v>
      </c>
      <c r="D24" s="32">
        <v>61.2</v>
      </c>
      <c r="E24" s="32">
        <v>0</v>
      </c>
      <c r="F24" s="90">
        <v>61.2</v>
      </c>
      <c r="G24" s="90">
        <v>64.58</v>
      </c>
      <c r="H24" s="33">
        <f t="shared" si="1"/>
        <v>248.18</v>
      </c>
    </row>
    <row r="25" spans="1:10">
      <c r="A25" s="66" t="s">
        <v>24</v>
      </c>
      <c r="B25" s="30" t="s">
        <v>41</v>
      </c>
      <c r="C25" s="31">
        <v>300</v>
      </c>
      <c r="D25" s="32">
        <v>300</v>
      </c>
      <c r="E25" s="71">
        <v>0</v>
      </c>
      <c r="F25" s="91">
        <v>300</v>
      </c>
      <c r="G25" s="91">
        <v>300</v>
      </c>
      <c r="H25" s="33">
        <f t="shared" si="1"/>
        <v>1200</v>
      </c>
    </row>
    <row r="26" spans="1:10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>
        <v>1000</v>
      </c>
      <c r="G26" s="90">
        <v>1000</v>
      </c>
      <c r="H26" s="33">
        <f t="shared" si="1"/>
        <v>4000</v>
      </c>
    </row>
    <row r="27" spans="1:10">
      <c r="A27" s="117" t="s">
        <v>25</v>
      </c>
      <c r="B27" s="118" t="s">
        <v>97</v>
      </c>
      <c r="C27" s="119">
        <f>327+327</f>
        <v>654</v>
      </c>
      <c r="D27" s="120">
        <v>654</v>
      </c>
      <c r="E27" s="120">
        <v>0</v>
      </c>
      <c r="F27" s="121">
        <f>654</f>
        <v>654</v>
      </c>
      <c r="G27" s="121">
        <f>654+163.5</f>
        <v>817.5</v>
      </c>
      <c r="H27" s="122">
        <f t="shared" si="1"/>
        <v>2779.5</v>
      </c>
    </row>
    <row r="28" spans="1:10" ht="16.5" thickBot="1">
      <c r="A28" s="67"/>
      <c r="B28" s="41"/>
      <c r="C28" s="40"/>
      <c r="D28" s="42"/>
      <c r="E28" s="42">
        <v>0</v>
      </c>
      <c r="F28" s="92"/>
      <c r="G28" s="92"/>
      <c r="H28" s="44">
        <f>SUM(C28:E28)</f>
        <v>0</v>
      </c>
    </row>
    <row r="29" spans="1:10" ht="17.25" thickTop="1" thickBot="1">
      <c r="A29" s="187" t="s">
        <v>15</v>
      </c>
      <c r="B29" s="188"/>
      <c r="C29" s="59">
        <f>SUM(C21:C28)</f>
        <v>3094.67</v>
      </c>
      <c r="D29" s="59">
        <f>SUM(D21:D28)</f>
        <v>3107.34</v>
      </c>
      <c r="E29" s="59">
        <f>SUM(E21:E28)</f>
        <v>0</v>
      </c>
      <c r="F29" s="93">
        <f>SUM(F21:F27)</f>
        <v>3094.67</v>
      </c>
      <c r="G29" s="93">
        <f>SUM(G21:G28)</f>
        <v>3865.06</v>
      </c>
      <c r="H29" s="60">
        <f>SUM(H21:H28)</f>
        <v>13161.74</v>
      </c>
      <c r="J29" s="82"/>
    </row>
    <row r="30" spans="1:10" ht="17.25" thickTop="1" thickBot="1">
      <c r="A30" s="34"/>
      <c r="B30" s="35"/>
      <c r="C30" s="36"/>
      <c r="D30" s="36"/>
      <c r="E30" s="36"/>
      <c r="F30" s="36"/>
      <c r="G30" s="36"/>
      <c r="H30" s="37"/>
    </row>
    <row r="31" spans="1:10" ht="19.899999999999999" customHeight="1" thickTop="1" thickBot="1">
      <c r="A31" s="184" t="s">
        <v>28</v>
      </c>
      <c r="B31" s="185"/>
      <c r="C31" s="185"/>
      <c r="D31" s="185"/>
      <c r="E31" s="185"/>
      <c r="F31" s="185"/>
      <c r="G31" s="185"/>
      <c r="H31" s="186"/>
    </row>
    <row r="32" spans="1:10" ht="17.25" thickTop="1" thickBot="1">
      <c r="A32" s="15"/>
      <c r="B32" s="16"/>
      <c r="C32" s="16"/>
      <c r="D32" s="16"/>
      <c r="E32" s="16"/>
      <c r="F32" s="16"/>
      <c r="G32" s="16"/>
      <c r="H32" s="17"/>
    </row>
    <row r="33" spans="1:10" ht="17.25" thickTop="1" thickBot="1">
      <c r="A33" s="77" t="s">
        <v>13</v>
      </c>
      <c r="B33" s="78" t="s">
        <v>14</v>
      </c>
      <c r="C33" s="73" t="str">
        <f>C5</f>
        <v>Setembro</v>
      </c>
      <c r="D33" s="73" t="str">
        <f>D5</f>
        <v>Outubro</v>
      </c>
      <c r="E33" s="73" t="str">
        <f>E5</f>
        <v>SETEBRO</v>
      </c>
      <c r="F33" s="94" t="s">
        <v>108</v>
      </c>
      <c r="G33" s="94" t="s">
        <v>109</v>
      </c>
      <c r="H33" s="79" t="s">
        <v>15</v>
      </c>
    </row>
    <row r="34" spans="1:10" ht="16.5" thickTop="1">
      <c r="A34" s="46"/>
      <c r="B34" s="47"/>
      <c r="C34" s="48"/>
      <c r="D34" s="47"/>
      <c r="E34" s="47"/>
      <c r="F34" s="95"/>
      <c r="G34" s="95"/>
      <c r="H34" s="49"/>
    </row>
    <row r="35" spans="1:10">
      <c r="A35" s="38" t="s">
        <v>18</v>
      </c>
      <c r="B35" s="30" t="s">
        <v>44</v>
      </c>
      <c r="C35" s="31">
        <v>1874.14</v>
      </c>
      <c r="D35" s="32">
        <v>0</v>
      </c>
      <c r="E35" s="32">
        <v>0</v>
      </c>
      <c r="F35" s="90">
        <v>0</v>
      </c>
      <c r="G35" s="90">
        <f>1874.14+1874.14</f>
        <v>3748.28</v>
      </c>
      <c r="H35" s="33">
        <f>SUM(C35:G35)</f>
        <v>5622.42</v>
      </c>
    </row>
    <row r="36" spans="1:10">
      <c r="A36" s="38" t="s">
        <v>19</v>
      </c>
      <c r="B36" s="30" t="s">
        <v>114</v>
      </c>
      <c r="C36" s="31">
        <v>0</v>
      </c>
      <c r="D36" s="32">
        <v>0</v>
      </c>
      <c r="E36" s="32">
        <v>0</v>
      </c>
      <c r="F36" s="90">
        <v>0</v>
      </c>
      <c r="G36" s="90">
        <f>1335.67</f>
        <v>1335.67</v>
      </c>
      <c r="H36" s="33">
        <f t="shared" ref="H36:H60" si="2">SUM(C36:G36)</f>
        <v>1335.67</v>
      </c>
    </row>
    <row r="37" spans="1:10">
      <c r="A37" s="38" t="s">
        <v>20</v>
      </c>
      <c r="B37" s="30" t="s">
        <v>45</v>
      </c>
      <c r="C37" s="31">
        <v>0</v>
      </c>
      <c r="D37" s="32">
        <v>1022.5</v>
      </c>
      <c r="E37" s="32">
        <v>0</v>
      </c>
      <c r="F37" s="90">
        <v>0</v>
      </c>
      <c r="G37" s="90">
        <v>0</v>
      </c>
      <c r="H37" s="33">
        <f t="shared" si="2"/>
        <v>1022.5</v>
      </c>
    </row>
    <row r="38" spans="1:10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>
        <f>30</f>
        <v>30</v>
      </c>
      <c r="G38" s="90">
        <v>251</v>
      </c>
      <c r="H38" s="33">
        <f t="shared" si="2"/>
        <v>281</v>
      </c>
    </row>
    <row r="39" spans="1:10">
      <c r="A39" s="38" t="s">
        <v>24</v>
      </c>
      <c r="B39" s="30" t="s">
        <v>101</v>
      </c>
      <c r="C39" s="31">
        <f>308.14+303.44</f>
        <v>611.57999999999993</v>
      </c>
      <c r="D39" s="32">
        <f>300+424+300</f>
        <v>1024</v>
      </c>
      <c r="E39" s="32">
        <v>0</v>
      </c>
      <c r="F39" s="90">
        <v>0</v>
      </c>
      <c r="G39" s="90">
        <v>0</v>
      </c>
      <c r="H39" s="33">
        <f t="shared" si="2"/>
        <v>1635.58</v>
      </c>
    </row>
    <row r="40" spans="1:10">
      <c r="A40" s="38" t="s">
        <v>29</v>
      </c>
      <c r="B40" s="30" t="s">
        <v>83</v>
      </c>
      <c r="C40" s="31">
        <v>230</v>
      </c>
      <c r="D40" s="32">
        <f>220+50</f>
        <v>270</v>
      </c>
      <c r="E40" s="32">
        <v>0</v>
      </c>
      <c r="F40" s="90">
        <f>4090.55+100+300+500+540</f>
        <v>5530.55</v>
      </c>
      <c r="G40" s="90">
        <v>0</v>
      </c>
      <c r="H40" s="33">
        <f t="shared" si="2"/>
        <v>6030.55</v>
      </c>
    </row>
    <row r="41" spans="1:10">
      <c r="A41" s="38" t="s">
        <v>25</v>
      </c>
      <c r="B41" s="30" t="s">
        <v>85</v>
      </c>
      <c r="C41" s="31">
        <v>0</v>
      </c>
      <c r="D41" s="32">
        <v>0</v>
      </c>
      <c r="E41" s="32">
        <v>0</v>
      </c>
      <c r="F41" s="90">
        <v>0</v>
      </c>
      <c r="G41" s="90">
        <v>0</v>
      </c>
      <c r="H41" s="33">
        <f t="shared" si="2"/>
        <v>0</v>
      </c>
    </row>
    <row r="42" spans="1:10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>
        <f>20</f>
        <v>20</v>
      </c>
      <c r="G42" s="90">
        <f>175.5</f>
        <v>175.5</v>
      </c>
      <c r="H42" s="33">
        <f t="shared" si="2"/>
        <v>195.5</v>
      </c>
    </row>
    <row r="43" spans="1:10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>
        <f>161.45+27</f>
        <v>188.45</v>
      </c>
      <c r="G43" s="90">
        <f>177.3+35.07</f>
        <v>212.37</v>
      </c>
      <c r="H43" s="33">
        <f t="shared" si="2"/>
        <v>400.82</v>
      </c>
    </row>
    <row r="44" spans="1:10">
      <c r="A44" s="38" t="s">
        <v>30</v>
      </c>
      <c r="B44" s="30" t="s">
        <v>48</v>
      </c>
      <c r="C44" s="31">
        <f>64.83+551.09+80.5+40</f>
        <v>736.42000000000007</v>
      </c>
      <c r="D44" s="32">
        <f>5.5+5.5</f>
        <v>11</v>
      </c>
      <c r="E44" s="32">
        <v>0</v>
      </c>
      <c r="F44" s="90">
        <f>120+71.19+185+338.7+40</f>
        <v>754.89</v>
      </c>
      <c r="G44" s="90">
        <f>122.53+380.22+21.15+100+223.87</f>
        <v>847.77</v>
      </c>
      <c r="H44" s="33">
        <f t="shared" si="2"/>
        <v>2350.08</v>
      </c>
    </row>
    <row r="45" spans="1:10">
      <c r="A45" s="38" t="s">
        <v>31</v>
      </c>
      <c r="B45" s="30" t="s">
        <v>49</v>
      </c>
      <c r="C45" s="31">
        <f>84+84</f>
        <v>168</v>
      </c>
      <c r="D45" s="32">
        <f>76+76</f>
        <v>152</v>
      </c>
      <c r="E45" s="32">
        <v>0</v>
      </c>
      <c r="F45" s="90">
        <f>80+80</f>
        <v>160</v>
      </c>
      <c r="G45" s="90">
        <f>88+88</f>
        <v>176</v>
      </c>
      <c r="H45" s="33">
        <f t="shared" si="2"/>
        <v>656</v>
      </c>
    </row>
    <row r="46" spans="1:10">
      <c r="A46" s="38" t="s">
        <v>32</v>
      </c>
      <c r="B46" s="30" t="s">
        <v>51</v>
      </c>
      <c r="C46" s="31">
        <f>100+100</f>
        <v>200</v>
      </c>
      <c r="D46" s="32">
        <f>100+100</f>
        <v>200</v>
      </c>
      <c r="E46" s="32">
        <v>0</v>
      </c>
      <c r="F46" s="90">
        <f>100+100</f>
        <v>200</v>
      </c>
      <c r="G46" s="90">
        <f>100+100</f>
        <v>200</v>
      </c>
      <c r="H46" s="33">
        <f t="shared" si="2"/>
        <v>800</v>
      </c>
      <c r="J46" s="68"/>
    </row>
    <row r="47" spans="1:10">
      <c r="A47" s="38" t="s">
        <v>33</v>
      </c>
      <c r="B47" s="30" t="s">
        <v>50</v>
      </c>
      <c r="C47" s="31">
        <f>100+542.67+158+260+220.08+1200+15+227.9</f>
        <v>2723.65</v>
      </c>
      <c r="D47" s="32">
        <f>314.05+88.51+3501.82+110+2336.23+30+10.35+73.6</f>
        <v>6464.5600000000013</v>
      </c>
      <c r="E47" s="32">
        <v>0</v>
      </c>
      <c r="F47" s="90">
        <f>95.7+3753.42+351.79+544.42+193.46</f>
        <v>4938.79</v>
      </c>
      <c r="G47" s="90">
        <f>40+67+149.49+411.79+2037.66</f>
        <v>2705.94</v>
      </c>
      <c r="H47" s="33">
        <f t="shared" si="2"/>
        <v>16832.939999999999</v>
      </c>
    </row>
    <row r="48" spans="1:10">
      <c r="A48" s="38" t="s">
        <v>34</v>
      </c>
      <c r="B48" s="30" t="s">
        <v>86</v>
      </c>
      <c r="C48" s="31">
        <f>90+100+89+89+89+89</f>
        <v>546</v>
      </c>
      <c r="D48" s="32">
        <f>89+89+89+345+115</f>
        <v>727</v>
      </c>
      <c r="E48" s="71">
        <v>0</v>
      </c>
      <c r="F48" s="91">
        <f>345+100+700</f>
        <v>1145</v>
      </c>
      <c r="G48" s="91">
        <f>100+115</f>
        <v>215</v>
      </c>
      <c r="H48" s="33">
        <f t="shared" si="2"/>
        <v>2633</v>
      </c>
      <c r="I48" s="68"/>
    </row>
    <row r="49" spans="1:10">
      <c r="A49" s="38" t="s">
        <v>60</v>
      </c>
      <c r="B49" s="30" t="s">
        <v>110</v>
      </c>
      <c r="C49" s="31">
        <v>0</v>
      </c>
      <c r="D49" s="32">
        <v>0</v>
      </c>
      <c r="E49" s="32">
        <v>0</v>
      </c>
      <c r="F49" s="90">
        <f>1243.8+600</f>
        <v>1843.8</v>
      </c>
      <c r="G49" s="90">
        <f>1500+500</f>
        <v>2000</v>
      </c>
      <c r="H49" s="33">
        <f t="shared" si="2"/>
        <v>3843.8</v>
      </c>
    </row>
    <row r="50" spans="1:10">
      <c r="A50" s="38" t="s">
        <v>61</v>
      </c>
      <c r="B50" s="30" t="s">
        <v>52</v>
      </c>
      <c r="C50" s="31">
        <v>0</v>
      </c>
      <c r="D50" s="32">
        <v>0</v>
      </c>
      <c r="E50" s="32">
        <v>0</v>
      </c>
      <c r="F50" s="90">
        <v>0</v>
      </c>
      <c r="G50" s="90">
        <v>0</v>
      </c>
      <c r="H50" s="33">
        <f t="shared" si="2"/>
        <v>0</v>
      </c>
    </row>
    <row r="51" spans="1:10">
      <c r="A51" s="38" t="s">
        <v>62</v>
      </c>
      <c r="B51" s="30" t="s">
        <v>99</v>
      </c>
      <c r="C51" s="31">
        <v>60</v>
      </c>
      <c r="D51" s="32">
        <v>80</v>
      </c>
      <c r="E51" s="32">
        <v>0</v>
      </c>
      <c r="F51" s="90">
        <f>65</f>
        <v>65</v>
      </c>
      <c r="G51" s="90">
        <v>65</v>
      </c>
      <c r="H51" s="33">
        <f t="shared" si="2"/>
        <v>270</v>
      </c>
    </row>
    <row r="52" spans="1:10">
      <c r="A52" s="38" t="s">
        <v>63</v>
      </c>
      <c r="B52" s="30" t="s">
        <v>54</v>
      </c>
      <c r="C52" s="31">
        <v>0</v>
      </c>
      <c r="D52" s="32">
        <v>0</v>
      </c>
      <c r="E52" s="32">
        <v>0</v>
      </c>
      <c r="F52" s="90">
        <v>0</v>
      </c>
      <c r="G52" s="90">
        <v>0</v>
      </c>
      <c r="H52" s="33">
        <f t="shared" si="2"/>
        <v>0</v>
      </c>
      <c r="J52" s="68"/>
    </row>
    <row r="53" spans="1:10">
      <c r="A53" s="38" t="s">
        <v>64</v>
      </c>
      <c r="B53" s="29" t="s">
        <v>102</v>
      </c>
      <c r="C53" s="31">
        <v>0</v>
      </c>
      <c r="D53" s="32">
        <f>2700+603.35+72+820.85</f>
        <v>4196.2</v>
      </c>
      <c r="E53" s="32">
        <v>0</v>
      </c>
      <c r="F53" s="90">
        <v>0</v>
      </c>
      <c r="G53" s="90">
        <v>0</v>
      </c>
      <c r="H53" s="33">
        <f t="shared" si="2"/>
        <v>4196.2</v>
      </c>
    </row>
    <row r="54" spans="1:10">
      <c r="A54" s="38" t="s">
        <v>65</v>
      </c>
      <c r="B54" s="30" t="s">
        <v>103</v>
      </c>
      <c r="C54" s="31">
        <v>0</v>
      </c>
      <c r="D54" s="32">
        <f>2800+300+282.14</f>
        <v>3382.14</v>
      </c>
      <c r="E54" s="32">
        <v>0</v>
      </c>
      <c r="F54" s="90">
        <v>0</v>
      </c>
      <c r="G54" s="90">
        <v>0</v>
      </c>
      <c r="H54" s="33">
        <f t="shared" si="2"/>
        <v>3382.14</v>
      </c>
      <c r="I54" s="68"/>
    </row>
    <row r="55" spans="1:10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90">
        <f>150+150+210+50</f>
        <v>560</v>
      </c>
      <c r="G55" s="90">
        <f>300+173.95+90</f>
        <v>563.95000000000005</v>
      </c>
      <c r="H55" s="33">
        <f t="shared" si="2"/>
        <v>1123.95</v>
      </c>
    </row>
    <row r="56" spans="1:10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90">
        <v>100</v>
      </c>
      <c r="G56" s="90">
        <v>0</v>
      </c>
      <c r="H56" s="33">
        <f t="shared" si="2"/>
        <v>100</v>
      </c>
    </row>
    <row r="57" spans="1:10">
      <c r="A57" s="38" t="s">
        <v>72</v>
      </c>
      <c r="B57" s="29" t="s">
        <v>57</v>
      </c>
      <c r="C57" s="31">
        <v>44.3</v>
      </c>
      <c r="D57" s="32">
        <v>0</v>
      </c>
      <c r="E57" s="32">
        <v>0</v>
      </c>
      <c r="F57" s="90">
        <v>39.25</v>
      </c>
      <c r="G57" s="90">
        <f>49.6+19.4+18</f>
        <v>87</v>
      </c>
      <c r="H57" s="33">
        <f t="shared" si="2"/>
        <v>170.55</v>
      </c>
    </row>
    <row r="58" spans="1:10">
      <c r="A58" s="38" t="s">
        <v>73</v>
      </c>
      <c r="B58" s="30" t="s">
        <v>75</v>
      </c>
      <c r="C58" s="31">
        <v>75.8</v>
      </c>
      <c r="D58" s="32">
        <v>0</v>
      </c>
      <c r="E58" s="32">
        <v>0</v>
      </c>
      <c r="F58" s="90">
        <v>75.8</v>
      </c>
      <c r="G58" s="90">
        <v>0</v>
      </c>
      <c r="H58" s="33">
        <f t="shared" si="2"/>
        <v>151.6</v>
      </c>
    </row>
    <row r="59" spans="1:10">
      <c r="A59" s="38" t="s">
        <v>74</v>
      </c>
      <c r="B59" s="30" t="s">
        <v>98</v>
      </c>
      <c r="C59" s="31">
        <v>906.3</v>
      </c>
      <c r="D59" s="32">
        <v>906.3</v>
      </c>
      <c r="E59" s="32">
        <v>0</v>
      </c>
      <c r="F59" s="90">
        <f>906.3</f>
        <v>906.3</v>
      </c>
      <c r="G59" s="90">
        <v>906.3</v>
      </c>
      <c r="H59" s="33">
        <f t="shared" si="2"/>
        <v>3625.2</v>
      </c>
    </row>
    <row r="60" spans="1:10">
      <c r="A60" s="38" t="s">
        <v>81</v>
      </c>
      <c r="B60" s="30" t="s">
        <v>82</v>
      </c>
      <c r="C60" s="31">
        <f>260.18+30.48</f>
        <v>290.66000000000003</v>
      </c>
      <c r="D60" s="32">
        <f>364.74+68.07</f>
        <v>432.81</v>
      </c>
      <c r="E60" s="32">
        <v>0</v>
      </c>
      <c r="F60" s="90">
        <f>367.03+56.72</f>
        <v>423.75</v>
      </c>
      <c r="G60" s="90">
        <f>358.24+44.23</f>
        <v>402.47</v>
      </c>
      <c r="H60" s="33">
        <f t="shared" si="2"/>
        <v>1549.69</v>
      </c>
    </row>
    <row r="61" spans="1:10" ht="16.5" thickBot="1">
      <c r="A61" s="99" t="s">
        <v>112</v>
      </c>
      <c r="B61" s="97" t="s">
        <v>113</v>
      </c>
      <c r="C61" s="100">
        <v>0</v>
      </c>
      <c r="D61" s="101">
        <v>0</v>
      </c>
      <c r="E61" s="98"/>
      <c r="F61" s="101">
        <f>1398+1439.9</f>
        <v>2837.9</v>
      </c>
      <c r="G61" s="98">
        <v>0</v>
      </c>
      <c r="H61" s="33">
        <f>SUM(C61:G61)</f>
        <v>2837.9</v>
      </c>
    </row>
    <row r="62" spans="1:10" ht="17.25" thickTop="1" thickBot="1">
      <c r="A62" s="189" t="s">
        <v>0</v>
      </c>
      <c r="B62" s="190"/>
      <c r="C62" s="61">
        <f>SUM(C35:C61)</f>
        <v>8466.8500000000022</v>
      </c>
      <c r="D62" s="61">
        <f>SUM(D35:D61)</f>
        <v>18868.510000000002</v>
      </c>
      <c r="E62" s="61">
        <f>SUM(E35:E60)</f>
        <v>0</v>
      </c>
      <c r="F62" s="96">
        <f>SUM(F35:F61)</f>
        <v>19819.48</v>
      </c>
      <c r="G62" s="96">
        <f>SUM(G35:G61)</f>
        <v>13892.25</v>
      </c>
      <c r="H62" s="62">
        <f>SUM(C62:G62)</f>
        <v>61047.090000000004</v>
      </c>
    </row>
    <row r="63" spans="1:10" ht="17.25" thickTop="1" thickBot="1">
      <c r="A63" s="169"/>
      <c r="B63" s="170"/>
      <c r="C63" s="170"/>
      <c r="D63" s="170"/>
      <c r="E63" s="170"/>
      <c r="F63" s="170"/>
      <c r="G63" s="170"/>
      <c r="H63" s="171"/>
    </row>
    <row r="64" spans="1:10" ht="19.899999999999999" customHeight="1" thickTop="1" thickBot="1">
      <c r="A64" s="176" t="s">
        <v>35</v>
      </c>
      <c r="B64" s="177"/>
      <c r="C64" s="51">
        <f>C29+C62</f>
        <v>11561.520000000002</v>
      </c>
      <c r="D64" s="51">
        <f>D29+D62</f>
        <v>21975.850000000002</v>
      </c>
      <c r="E64" s="51">
        <f t="shared" ref="E64:G64" si="3">E29+E62</f>
        <v>0</v>
      </c>
      <c r="F64" s="51">
        <f t="shared" si="3"/>
        <v>22914.15</v>
      </c>
      <c r="G64" s="51">
        <f t="shared" si="3"/>
        <v>17757.310000000001</v>
      </c>
      <c r="H64" s="51">
        <f>H29+H62</f>
        <v>74208.83</v>
      </c>
      <c r="J64" s="68"/>
    </row>
    <row r="65" spans="1:8" ht="17.25" thickTop="1" thickBot="1">
      <c r="A65" s="173"/>
      <c r="B65" s="174"/>
      <c r="C65" s="174"/>
      <c r="D65" s="174"/>
      <c r="E65" s="174"/>
      <c r="F65" s="174"/>
      <c r="G65" s="174"/>
      <c r="H65" s="175"/>
    </row>
    <row r="66" spans="1:8" ht="19.899999999999999" customHeight="1" thickTop="1" thickBot="1">
      <c r="A66" s="178" t="s">
        <v>36</v>
      </c>
      <c r="B66" s="179"/>
      <c r="C66" s="52">
        <f>C14-C64</f>
        <v>12635.729999999994</v>
      </c>
      <c r="D66" s="52">
        <f>D14-D64</f>
        <v>7080.1499999999905</v>
      </c>
      <c r="E66" s="52">
        <f t="shared" ref="E66:G66" si="4">E14-E64</f>
        <v>0</v>
      </c>
      <c r="F66" s="52">
        <f t="shared" si="4"/>
        <v>6072.4099999999889</v>
      </c>
      <c r="G66" s="52">
        <f t="shared" si="4"/>
        <v>8159.8499999999876</v>
      </c>
      <c r="H66" s="52"/>
    </row>
    <row r="67" spans="1:8" ht="16.5" thickTop="1">
      <c r="A67" s="20"/>
      <c r="B67" s="20"/>
      <c r="C67" s="21"/>
      <c r="D67" s="21"/>
      <c r="E67" s="21"/>
      <c r="F67" s="21"/>
      <c r="G67" s="21"/>
      <c r="H67" s="21"/>
    </row>
    <row r="68" spans="1:8">
      <c r="A68" s="20"/>
      <c r="B68" s="20"/>
      <c r="C68" s="21"/>
      <c r="D68" s="21"/>
      <c r="E68" s="21"/>
      <c r="F68" s="21"/>
      <c r="G68" s="21"/>
      <c r="H68" s="21"/>
    </row>
    <row r="69" spans="1:8" ht="18">
      <c r="A69" s="20"/>
      <c r="B69" s="153"/>
      <c r="C69" s="153"/>
      <c r="D69" s="153"/>
      <c r="E69" s="153"/>
      <c r="F69" s="153"/>
      <c r="G69" s="153"/>
      <c r="H69" s="153"/>
    </row>
    <row r="70" spans="1:8">
      <c r="C70" s="43"/>
    </row>
    <row r="72" spans="1:8">
      <c r="A72" s="181" t="s">
        <v>105</v>
      </c>
      <c r="B72" s="181"/>
      <c r="C72" s="172" t="s">
        <v>106</v>
      </c>
      <c r="D72" s="172"/>
      <c r="E72" s="172"/>
      <c r="F72" s="172"/>
      <c r="G72" s="172"/>
      <c r="H72" s="172"/>
    </row>
    <row r="73" spans="1:8" ht="20.25">
      <c r="A73" s="182" t="s">
        <v>104</v>
      </c>
      <c r="B73" s="182"/>
      <c r="C73" s="83"/>
      <c r="D73" s="84" t="s">
        <v>69</v>
      </c>
      <c r="E73" s="81"/>
      <c r="F73" s="81"/>
      <c r="G73" s="81"/>
      <c r="H73" s="81"/>
    </row>
    <row r="74" spans="1:8" ht="20.25">
      <c r="A74" s="183" t="s">
        <v>107</v>
      </c>
      <c r="B74" s="183"/>
      <c r="C74" s="83"/>
      <c r="D74" s="85" t="s">
        <v>87</v>
      </c>
      <c r="E74" s="80"/>
      <c r="F74" s="80"/>
      <c r="G74" s="80"/>
      <c r="H74" s="80"/>
    </row>
  </sheetData>
  <mergeCells count="19">
    <mergeCell ref="A73:B73"/>
    <mergeCell ref="A74:B74"/>
    <mergeCell ref="A18:H18"/>
    <mergeCell ref="A31:H31"/>
    <mergeCell ref="A63:H63"/>
    <mergeCell ref="A29:B29"/>
    <mergeCell ref="A62:B62"/>
    <mergeCell ref="A1:H2"/>
    <mergeCell ref="A14:B14"/>
    <mergeCell ref="A17:H17"/>
    <mergeCell ref="C72:H72"/>
    <mergeCell ref="A65:H65"/>
    <mergeCell ref="A64:B64"/>
    <mergeCell ref="A66:B66"/>
    <mergeCell ref="B69:H69"/>
    <mergeCell ref="A3:H3"/>
    <mergeCell ref="A4:H4"/>
    <mergeCell ref="A16:H16"/>
    <mergeCell ref="A72:B72"/>
  </mergeCells>
  <phoneticPr fontId="0" type="noConversion"/>
  <pageMargins left="0.19685039370078741" right="0.19685039370078741" top="0.59055118110236227" bottom="0.39370078740157483" header="0.51181102362204722" footer="0.51181102362204722"/>
  <pageSetup paperSize="9" scale="8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topLeftCell="A10" workbookViewId="0">
      <selection activeCell="N19" sqref="N19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0.125" style="1" bestFit="1" customWidth="1"/>
  </cols>
  <sheetData>
    <row r="1" spans="1:12" ht="16.5" thickTop="1">
      <c r="A1" s="163" t="s">
        <v>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6.5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7.25" thickTop="1" thickBo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7.25" thickTop="1" thickBot="1">
      <c r="A4" s="176" t="s">
        <v>12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77"/>
    </row>
    <row r="5" spans="1:12" ht="17.25" thickTop="1" thickBot="1">
      <c r="A5" s="75" t="s">
        <v>13</v>
      </c>
      <c r="B5" s="18" t="s">
        <v>14</v>
      </c>
      <c r="C5" s="125">
        <v>40909</v>
      </c>
      <c r="D5" s="125">
        <v>40940</v>
      </c>
      <c r="E5" s="73" t="s">
        <v>93</v>
      </c>
      <c r="F5" s="73" t="s">
        <v>108</v>
      </c>
      <c r="G5" s="73" t="s">
        <v>109</v>
      </c>
      <c r="H5" s="125">
        <v>40969</v>
      </c>
      <c r="I5" s="125">
        <v>41000</v>
      </c>
      <c r="J5" s="125">
        <v>41030</v>
      </c>
      <c r="K5" s="125">
        <v>41061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'Balancete-demonstrativo'!G66</f>
        <v>8159.8499999999876</v>
      </c>
      <c r="D6" s="57">
        <f>C$67</f>
        <v>8660.9099999999926</v>
      </c>
      <c r="E6" s="57">
        <v>0</v>
      </c>
      <c r="F6" s="86"/>
      <c r="G6" s="86"/>
      <c r="H6" s="86">
        <f>D67</f>
        <v>13938.239999999991</v>
      </c>
      <c r="I6" s="86">
        <f>H67</f>
        <v>15108.159999999993</v>
      </c>
      <c r="J6" s="86">
        <f>I67</f>
        <v>13399.869999999992</v>
      </c>
      <c r="K6" s="86">
        <v>18260.03</v>
      </c>
      <c r="L6" s="58">
        <f>SUM(C6:K6)</f>
        <v>77527.059999999954</v>
      </c>
    </row>
    <row r="7" spans="1:12">
      <c r="A7" s="64">
        <v>2</v>
      </c>
      <c r="B7" s="53" t="s">
        <v>39</v>
      </c>
      <c r="C7" s="54">
        <f>1539.53+16011.69</f>
        <v>17551.22</v>
      </c>
      <c r="D7" s="54">
        <f>1572.25+15956.45</f>
        <v>17528.7</v>
      </c>
      <c r="E7" s="54">
        <v>0</v>
      </c>
      <c r="F7" s="87"/>
      <c r="G7" s="87"/>
      <c r="H7" s="87">
        <f>1617.04+1799.12+16314.84</f>
        <v>19731</v>
      </c>
      <c r="I7" s="87">
        <f>1817.77+18393.63</f>
        <v>20211.400000000001</v>
      </c>
      <c r="J7" s="87">
        <f>1817.77+18370.2</f>
        <v>20187.97</v>
      </c>
      <c r="K7" s="87">
        <f>18386.02</f>
        <v>18386.02</v>
      </c>
      <c r="L7" s="55">
        <f>SUM(C7:K7)</f>
        <v>113596.31000000001</v>
      </c>
    </row>
    <row r="8" spans="1:12">
      <c r="A8" s="65">
        <v>3</v>
      </c>
      <c r="B8" s="28" t="s">
        <v>38</v>
      </c>
      <c r="C8" s="45">
        <v>0</v>
      </c>
      <c r="D8" s="45">
        <v>378.51</v>
      </c>
      <c r="E8" s="45">
        <v>0</v>
      </c>
      <c r="F8" s="87"/>
      <c r="G8" s="87"/>
      <c r="H8" s="87">
        <f>290.27+290.27</f>
        <v>580.54</v>
      </c>
      <c r="I8" s="87">
        <f>345.82</f>
        <v>345.82</v>
      </c>
      <c r="J8" s="87">
        <v>442.12</v>
      </c>
      <c r="K8" s="87">
        <v>0</v>
      </c>
      <c r="L8" s="55">
        <f t="shared" ref="L8:L13" si="0">SUM(C8:K8)</f>
        <v>1746.9899999999998</v>
      </c>
    </row>
    <row r="9" spans="1:12">
      <c r="A9" s="65">
        <v>4</v>
      </c>
      <c r="B9" s="29" t="s">
        <v>100</v>
      </c>
      <c r="C9" s="70">
        <v>0</v>
      </c>
      <c r="D9" s="45">
        <f>1000+1000+37.66+20+463.45+2394.3</f>
        <v>4915.41</v>
      </c>
      <c r="E9" s="45">
        <v>0</v>
      </c>
      <c r="F9" s="87"/>
      <c r="G9" s="87"/>
      <c r="H9" s="87">
        <v>0</v>
      </c>
      <c r="I9" s="87">
        <f>279.77+28</f>
        <v>307.77</v>
      </c>
      <c r="J9" s="87">
        <f>1208.24+345.82</f>
        <v>1554.06</v>
      </c>
      <c r="K9" s="87">
        <v>0</v>
      </c>
      <c r="L9" s="55">
        <f t="shared" si="0"/>
        <v>6777.24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0"/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0"/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0"/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0"/>
        <v>0</v>
      </c>
    </row>
    <row r="14" spans="1:12" ht="16.5" thickBot="1">
      <c r="A14" s="167" t="s">
        <v>0</v>
      </c>
      <c r="B14" s="168"/>
      <c r="C14" s="114">
        <f t="shared" ref="C14:J14" si="1">SUM(C6:C13)</f>
        <v>25711.069999999989</v>
      </c>
      <c r="D14" s="114">
        <f t="shared" si="1"/>
        <v>31483.529999999992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34249.779999999992</v>
      </c>
      <c r="I14" s="115">
        <f t="shared" si="1"/>
        <v>35973.149999999994</v>
      </c>
      <c r="J14" s="115">
        <f t="shared" si="1"/>
        <v>35584.019999999997</v>
      </c>
      <c r="K14" s="115">
        <f>SUM(K6:K13)</f>
        <v>36646.050000000003</v>
      </c>
      <c r="L14" s="116">
        <f>SUM(L7:L13)</f>
        <v>122120.54000000002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76" t="s">
        <v>118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77"/>
    </row>
    <row r="17" spans="1:14" ht="17.25" thickTop="1" thickBo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1"/>
    </row>
    <row r="18" spans="1:14" ht="19.899999999999999" customHeight="1" thickTop="1" thickBot="1">
      <c r="A18" s="176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77"/>
    </row>
    <row r="19" spans="1:14" ht="31.5" thickTop="1" thickBot="1">
      <c r="A19" s="76" t="s">
        <v>13</v>
      </c>
      <c r="B19" s="19" t="s">
        <v>14</v>
      </c>
      <c r="C19" s="125">
        <v>40909</v>
      </c>
      <c r="D19" s="125">
        <v>40940</v>
      </c>
      <c r="E19" s="73" t="str">
        <f>E5</f>
        <v>SETEBRO</v>
      </c>
      <c r="F19" s="73" t="s">
        <v>108</v>
      </c>
      <c r="G19" s="73" t="s">
        <v>109</v>
      </c>
      <c r="H19" s="125">
        <f>H5</f>
        <v>40969</v>
      </c>
      <c r="I19" s="125">
        <f t="shared" ref="I19:K19" si="2">I5</f>
        <v>41000</v>
      </c>
      <c r="J19" s="125">
        <f t="shared" si="2"/>
        <v>41030</v>
      </c>
      <c r="K19" s="125">
        <f t="shared" si="2"/>
        <v>41061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f>1147.5+765+60.05</f>
        <v>1972.55</v>
      </c>
      <c r="D21" s="32">
        <f>765+765</f>
        <v>1530</v>
      </c>
      <c r="E21" s="32">
        <v>0</v>
      </c>
      <c r="F21" s="90"/>
      <c r="G21" s="90"/>
      <c r="H21" s="90">
        <f>933+933</f>
        <v>1866</v>
      </c>
      <c r="I21" s="90">
        <f>933</f>
        <v>933</v>
      </c>
      <c r="J21" s="90">
        <f>933+933</f>
        <v>1866</v>
      </c>
      <c r="K21" s="90">
        <f>1184.36+1108.36</f>
        <v>2292.7199999999998</v>
      </c>
      <c r="L21" s="33">
        <f>SUM(C21:K21)</f>
        <v>10460.27</v>
      </c>
    </row>
    <row r="22" spans="1:14">
      <c r="A22" s="66" t="s">
        <v>19</v>
      </c>
      <c r="B22" s="30" t="s">
        <v>42</v>
      </c>
      <c r="C22" s="31">
        <f>150+150</f>
        <v>300</v>
      </c>
      <c r="D22" s="32">
        <f>150+150</f>
        <v>300</v>
      </c>
      <c r="E22" s="32">
        <v>0</v>
      </c>
      <c r="F22" s="90"/>
      <c r="G22" s="90"/>
      <c r="H22" s="90">
        <f>150+150</f>
        <v>300</v>
      </c>
      <c r="I22" s="90">
        <v>300</v>
      </c>
      <c r="J22" s="90">
        <f>150+150</f>
        <v>300</v>
      </c>
      <c r="K22" s="90">
        <v>0</v>
      </c>
      <c r="L22" s="33">
        <f t="shared" ref="L22:L28" si="3">SUM(C22:K22)</f>
        <v>1500</v>
      </c>
    </row>
    <row r="23" spans="1:14">
      <c r="A23" s="66" t="s">
        <v>20</v>
      </c>
      <c r="B23" s="30" t="s">
        <v>21</v>
      </c>
      <c r="C23" s="31">
        <v>711.13</v>
      </c>
      <c r="D23" s="32">
        <v>451.35</v>
      </c>
      <c r="E23" s="32">
        <v>0</v>
      </c>
      <c r="F23" s="90"/>
      <c r="G23" s="90"/>
      <c r="H23" s="90">
        <v>580.38</v>
      </c>
      <c r="I23" s="90">
        <v>279.77</v>
      </c>
      <c r="J23" s="90">
        <v>559.54999999999995</v>
      </c>
      <c r="K23" s="90">
        <v>565</v>
      </c>
      <c r="L23" s="33">
        <f t="shared" si="3"/>
        <v>3147.1800000000003</v>
      </c>
    </row>
    <row r="24" spans="1:14">
      <c r="A24" s="66" t="s">
        <v>22</v>
      </c>
      <c r="B24" s="30" t="s">
        <v>23</v>
      </c>
      <c r="C24" s="31">
        <v>0</v>
      </c>
      <c r="D24" s="32">
        <v>129.13999999999999</v>
      </c>
      <c r="E24" s="32">
        <v>0</v>
      </c>
      <c r="F24" s="90"/>
      <c r="G24" s="90"/>
      <c r="H24" s="90">
        <v>157.55000000000001</v>
      </c>
      <c r="I24" s="90">
        <v>0</v>
      </c>
      <c r="J24" s="90">
        <v>157.53</v>
      </c>
      <c r="K24" s="90">
        <v>157.49</v>
      </c>
      <c r="L24" s="33">
        <f t="shared" si="3"/>
        <v>601.71</v>
      </c>
    </row>
    <row r="25" spans="1:14">
      <c r="A25" s="66" t="s">
        <v>24</v>
      </c>
      <c r="B25" s="30" t="s">
        <v>41</v>
      </c>
      <c r="C25" s="31">
        <v>0</v>
      </c>
      <c r="D25" s="32">
        <v>600</v>
      </c>
      <c r="E25" s="71">
        <v>0</v>
      </c>
      <c r="F25" s="91"/>
      <c r="G25" s="91"/>
      <c r="H25" s="91">
        <v>300</v>
      </c>
      <c r="I25" s="91">
        <v>300</v>
      </c>
      <c r="J25" s="91">
        <v>0</v>
      </c>
      <c r="K25" s="91">
        <v>0</v>
      </c>
      <c r="L25" s="33">
        <f t="shared" si="3"/>
        <v>1200</v>
      </c>
    </row>
    <row r="26" spans="1:14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/>
      <c r="G26" s="90"/>
      <c r="H26" s="90">
        <v>1500</v>
      </c>
      <c r="I26" s="90">
        <v>1500</v>
      </c>
      <c r="J26" s="90">
        <v>1500</v>
      </c>
      <c r="K26" s="90">
        <v>1500</v>
      </c>
      <c r="L26" s="33">
        <f t="shared" si="3"/>
        <v>8000</v>
      </c>
    </row>
    <row r="27" spans="1:14">
      <c r="A27" s="117" t="s">
        <v>25</v>
      </c>
      <c r="B27" s="118" t="s">
        <v>97</v>
      </c>
      <c r="C27" s="119">
        <v>0</v>
      </c>
      <c r="D27" s="120">
        <v>0</v>
      </c>
      <c r="E27" s="120">
        <v>0</v>
      </c>
      <c r="F27" s="121"/>
      <c r="G27" s="121"/>
      <c r="H27" s="121">
        <v>0</v>
      </c>
      <c r="I27" s="121">
        <v>0</v>
      </c>
      <c r="J27" s="121">
        <v>0</v>
      </c>
      <c r="K27" s="121">
        <v>0</v>
      </c>
      <c r="L27" s="33">
        <f t="shared" si="3"/>
        <v>0</v>
      </c>
    </row>
    <row r="28" spans="1:14" ht="16.5" thickBot="1">
      <c r="A28" s="67"/>
      <c r="B28" s="41"/>
      <c r="C28" s="40"/>
      <c r="D28" s="42"/>
      <c r="E28" s="42">
        <v>0</v>
      </c>
      <c r="F28" s="92"/>
      <c r="G28" s="92"/>
      <c r="H28" s="92"/>
      <c r="I28" s="92"/>
      <c r="J28" s="92"/>
      <c r="K28" s="92"/>
      <c r="L28" s="33">
        <f t="shared" si="3"/>
        <v>0</v>
      </c>
    </row>
    <row r="29" spans="1:14" ht="17.25" thickTop="1" thickBot="1">
      <c r="A29" s="187" t="s">
        <v>15</v>
      </c>
      <c r="B29" s="188"/>
      <c r="C29" s="59">
        <f>SUM(C21:C28)</f>
        <v>3983.6800000000003</v>
      </c>
      <c r="D29" s="59">
        <f>SUM(D21:D28)</f>
        <v>4010.49</v>
      </c>
      <c r="E29" s="59">
        <f>SUM(E21:E28)</f>
        <v>0</v>
      </c>
      <c r="F29" s="93">
        <f>SUM(F21:F27)</f>
        <v>0</v>
      </c>
      <c r="G29" s="93">
        <f t="shared" ref="G29:L29" si="4">SUM(G21:G28)</f>
        <v>0</v>
      </c>
      <c r="H29" s="93">
        <f t="shared" si="4"/>
        <v>4703.93</v>
      </c>
      <c r="I29" s="93">
        <f t="shared" si="4"/>
        <v>3312.77</v>
      </c>
      <c r="J29" s="93">
        <f t="shared" si="4"/>
        <v>4383.08</v>
      </c>
      <c r="K29" s="93">
        <f t="shared" si="4"/>
        <v>4515.21</v>
      </c>
      <c r="L29" s="60">
        <f t="shared" si="4"/>
        <v>24909.16</v>
      </c>
      <c r="N29" s="82"/>
    </row>
    <row r="30" spans="1:14" ht="17.25" thickTop="1" thickBo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4" ht="19.899999999999999" customHeight="1" thickTop="1" thickBot="1">
      <c r="A31" s="184" t="s">
        <v>28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6"/>
    </row>
    <row r="32" spans="1:14" ht="17.25" thickTop="1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4" ht="17.25" thickTop="1" thickBot="1">
      <c r="A33" s="77" t="s">
        <v>13</v>
      </c>
      <c r="B33" s="78" t="s">
        <v>14</v>
      </c>
      <c r="C33" s="125">
        <v>40909</v>
      </c>
      <c r="D33" s="125">
        <v>40940</v>
      </c>
      <c r="E33" s="73" t="str">
        <f>E5</f>
        <v>SETEBRO</v>
      </c>
      <c r="F33" s="94" t="s">
        <v>108</v>
      </c>
      <c r="G33" s="94" t="s">
        <v>109</v>
      </c>
      <c r="H33" s="128">
        <f>H19</f>
        <v>40969</v>
      </c>
      <c r="I33" s="128">
        <f t="shared" ref="I33:J33" si="5">I19</f>
        <v>41000</v>
      </c>
      <c r="J33" s="128">
        <f t="shared" si="5"/>
        <v>41030</v>
      </c>
      <c r="K33" s="128"/>
      <c r="L33" s="79" t="s">
        <v>15</v>
      </c>
    </row>
    <row r="34" spans="1:14" ht="16.5" thickTop="1">
      <c r="A34" s="46"/>
      <c r="B34" s="47"/>
      <c r="C34" s="48"/>
      <c r="D34" s="47"/>
      <c r="E34" s="47"/>
      <c r="F34" s="95"/>
      <c r="G34" s="95"/>
      <c r="H34" s="95"/>
      <c r="I34" s="95"/>
      <c r="J34" s="95"/>
      <c r="K34" s="95"/>
      <c r="L34" s="49"/>
    </row>
    <row r="35" spans="1:14">
      <c r="A35" s="38" t="s">
        <v>18</v>
      </c>
      <c r="B35" s="30" t="s">
        <v>44</v>
      </c>
      <c r="C35" s="31">
        <v>1874.14</v>
      </c>
      <c r="D35" s="32">
        <f>1874.14+1874.14</f>
        <v>3748.28</v>
      </c>
      <c r="E35" s="32">
        <v>0</v>
      </c>
      <c r="F35" s="90"/>
      <c r="G35" s="90"/>
      <c r="H35" s="90">
        <f>1874.14+528.95</f>
        <v>2403.09</v>
      </c>
      <c r="I35" s="90">
        <f>1874.14+101.5+74.97+528.95+630</f>
        <v>3209.5600000000004</v>
      </c>
      <c r="J35" s="90">
        <f>1874.14+101.5+74.97+528.95</f>
        <v>2579.5600000000004</v>
      </c>
      <c r="K35" s="90">
        <f>1874.14+101.5+74.97+528.95</f>
        <v>2579.5600000000004</v>
      </c>
      <c r="L35" s="33">
        <f>SUM(C35:K35)</f>
        <v>16394.190000000002</v>
      </c>
    </row>
    <row r="36" spans="1:14">
      <c r="A36" s="38" t="s">
        <v>19</v>
      </c>
      <c r="B36" s="30" t="s">
        <v>117</v>
      </c>
      <c r="C36" s="31">
        <v>0</v>
      </c>
      <c r="D36" s="32">
        <f>449.82+609+101.5+74.97+528.95+1335.67</f>
        <v>3099.91</v>
      </c>
      <c r="E36" s="32">
        <v>0</v>
      </c>
      <c r="F36" s="90"/>
      <c r="G36" s="90"/>
      <c r="H36" s="90">
        <f>101.5+74.97</f>
        <v>176.47</v>
      </c>
      <c r="I36" s="90">
        <v>0</v>
      </c>
      <c r="J36" s="90">
        <v>0</v>
      </c>
      <c r="K36" s="90">
        <v>0</v>
      </c>
      <c r="L36" s="33">
        <f t="shared" ref="L36:L62" si="6">SUM(C36:K36)</f>
        <v>3276.3799999999997</v>
      </c>
    </row>
    <row r="37" spans="1:14">
      <c r="A37" s="38" t="s">
        <v>20</v>
      </c>
      <c r="B37" s="30" t="s">
        <v>119</v>
      </c>
      <c r="C37" s="31">
        <v>0</v>
      </c>
      <c r="D37" s="32">
        <v>0</v>
      </c>
      <c r="E37" s="32">
        <v>0</v>
      </c>
      <c r="F37" s="90"/>
      <c r="G37" s="90"/>
      <c r="H37" s="90">
        <f>1335.67</f>
        <v>1335.67</v>
      </c>
      <c r="I37" s="90">
        <f>1335.67</f>
        <v>1335.67</v>
      </c>
      <c r="J37" s="90">
        <f>1335.67</f>
        <v>1335.67</v>
      </c>
      <c r="K37" s="90">
        <v>0</v>
      </c>
      <c r="L37" s="33">
        <f t="shared" si="6"/>
        <v>4007.01</v>
      </c>
    </row>
    <row r="38" spans="1:14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/>
      <c r="G38" s="90"/>
      <c r="H38" s="90">
        <v>0</v>
      </c>
      <c r="I38" s="90">
        <v>0</v>
      </c>
      <c r="J38" s="90">
        <v>0</v>
      </c>
      <c r="K38" s="90">
        <v>0</v>
      </c>
      <c r="L38" s="33">
        <f t="shared" si="6"/>
        <v>0</v>
      </c>
    </row>
    <row r="39" spans="1:14">
      <c r="A39" s="38" t="s">
        <v>24</v>
      </c>
      <c r="B39" s="30" t="s">
        <v>101</v>
      </c>
      <c r="C39" s="31">
        <f>100</f>
        <v>100</v>
      </c>
      <c r="D39" s="32">
        <v>0</v>
      </c>
      <c r="E39" s="32">
        <v>0</v>
      </c>
      <c r="F39" s="90"/>
      <c r="G39" s="90"/>
      <c r="H39" s="90">
        <v>0</v>
      </c>
      <c r="I39" s="90">
        <v>0</v>
      </c>
      <c r="J39" s="90">
        <v>0</v>
      </c>
      <c r="K39" s="90">
        <v>0</v>
      </c>
      <c r="L39" s="33">
        <f t="shared" si="6"/>
        <v>100</v>
      </c>
    </row>
    <row r="40" spans="1:14">
      <c r="A40" s="38" t="s">
        <v>29</v>
      </c>
      <c r="B40" s="30" t="s">
        <v>83</v>
      </c>
      <c r="C40" s="31">
        <f>140+356</f>
        <v>496</v>
      </c>
      <c r="D40" s="32">
        <f>140+110</f>
        <v>250</v>
      </c>
      <c r="E40" s="32">
        <v>0</v>
      </c>
      <c r="F40" s="90"/>
      <c r="G40" s="90"/>
      <c r="H40" s="90">
        <v>0</v>
      </c>
      <c r="I40" s="90">
        <f>255</f>
        <v>255</v>
      </c>
      <c r="J40" s="90">
        <f>300+75+150</f>
        <v>525</v>
      </c>
      <c r="K40" s="90">
        <f>150</f>
        <v>150</v>
      </c>
      <c r="L40" s="33">
        <f t="shared" si="6"/>
        <v>1676</v>
      </c>
    </row>
    <row r="41" spans="1:14">
      <c r="A41" s="38" t="s">
        <v>25</v>
      </c>
      <c r="B41" s="30" t="s">
        <v>85</v>
      </c>
      <c r="C41" s="31">
        <v>4090.55</v>
      </c>
      <c r="D41" s="32">
        <v>0</v>
      </c>
      <c r="E41" s="32">
        <v>0</v>
      </c>
      <c r="F41" s="90"/>
      <c r="G41" s="90"/>
      <c r="H41" s="90">
        <v>0</v>
      </c>
      <c r="I41" s="90">
        <f>1250</f>
        <v>1250</v>
      </c>
      <c r="J41" s="90">
        <v>0</v>
      </c>
      <c r="K41" s="90">
        <v>0</v>
      </c>
      <c r="L41" s="33">
        <f t="shared" si="6"/>
        <v>5340.55</v>
      </c>
    </row>
    <row r="42" spans="1:14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/>
      <c r="G42" s="90"/>
      <c r="H42" s="90">
        <v>0</v>
      </c>
      <c r="I42" s="90">
        <v>0</v>
      </c>
      <c r="J42" s="90">
        <f>292.5+24.9</f>
        <v>317.39999999999998</v>
      </c>
      <c r="K42" s="90">
        <f>150</f>
        <v>150</v>
      </c>
      <c r="L42" s="33">
        <f t="shared" si="6"/>
        <v>467.4</v>
      </c>
    </row>
    <row r="43" spans="1:14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/>
      <c r="G43" s="90"/>
      <c r="H43" s="90">
        <f>160.65</f>
        <v>160.65</v>
      </c>
      <c r="I43" s="90">
        <v>0</v>
      </c>
      <c r="J43" s="90">
        <v>0</v>
      </c>
      <c r="K43" s="90">
        <v>0</v>
      </c>
      <c r="L43" s="33">
        <f t="shared" si="6"/>
        <v>160.65</v>
      </c>
    </row>
    <row r="44" spans="1:14">
      <c r="A44" s="38" t="s">
        <v>30</v>
      </c>
      <c r="B44" s="30" t="s">
        <v>48</v>
      </c>
      <c r="C44" s="31">
        <f>200</f>
        <v>200</v>
      </c>
      <c r="D44" s="32">
        <v>200</v>
      </c>
      <c r="E44" s="32">
        <v>0</v>
      </c>
      <c r="F44" s="90"/>
      <c r="G44" s="90"/>
      <c r="H44" s="90">
        <f>135+200</f>
        <v>335</v>
      </c>
      <c r="I44" s="90">
        <f>200+80</f>
        <v>280</v>
      </c>
      <c r="J44" s="90">
        <f>172.16+200+85.5</f>
        <v>457.65999999999997</v>
      </c>
      <c r="K44" s="90">
        <f>300+149.13+80</f>
        <v>529.13</v>
      </c>
      <c r="L44" s="33">
        <f t="shared" si="6"/>
        <v>2001.79</v>
      </c>
    </row>
    <row r="45" spans="1:14">
      <c r="A45" s="38" t="s">
        <v>31</v>
      </c>
      <c r="B45" s="30" t="s">
        <v>49</v>
      </c>
      <c r="C45" s="31">
        <f>88</f>
        <v>88</v>
      </c>
      <c r="D45" s="32">
        <f>72+72</f>
        <v>144</v>
      </c>
      <c r="E45" s="32">
        <v>0</v>
      </c>
      <c r="F45" s="90"/>
      <c r="G45" s="90"/>
      <c r="H45" s="90">
        <f>84+84</f>
        <v>168</v>
      </c>
      <c r="I45" s="90">
        <v>76</v>
      </c>
      <c r="J45" s="90">
        <f>88+27.34</f>
        <v>115.34</v>
      </c>
      <c r="K45" s="90">
        <v>0</v>
      </c>
      <c r="L45" s="33">
        <f t="shared" si="6"/>
        <v>591.34</v>
      </c>
    </row>
    <row r="46" spans="1:14">
      <c r="A46" s="38" t="s">
        <v>32</v>
      </c>
      <c r="B46" s="30" t="s">
        <v>51</v>
      </c>
      <c r="C46" s="31">
        <f>100</f>
        <v>100</v>
      </c>
      <c r="D46" s="32">
        <f>100+100</f>
        <v>200</v>
      </c>
      <c r="E46" s="32">
        <v>0</v>
      </c>
      <c r="F46" s="90"/>
      <c r="G46" s="90"/>
      <c r="H46" s="90">
        <f>100+100</f>
        <v>200</v>
      </c>
      <c r="I46" s="90">
        <v>100</v>
      </c>
      <c r="J46" s="90">
        <f>100+100</f>
        <v>200</v>
      </c>
      <c r="K46" s="90">
        <v>0</v>
      </c>
      <c r="L46" s="33">
        <f t="shared" si="6"/>
        <v>800</v>
      </c>
      <c r="N46" s="68"/>
    </row>
    <row r="47" spans="1:14">
      <c r="A47" s="38" t="s">
        <v>33</v>
      </c>
      <c r="B47" s="30" t="s">
        <v>50</v>
      </c>
      <c r="C47" s="31">
        <f>751.58</f>
        <v>751.58</v>
      </c>
      <c r="D47" s="32">
        <f>950.29+2460.88</f>
        <v>3411.17</v>
      </c>
      <c r="E47" s="32">
        <v>0</v>
      </c>
      <c r="F47" s="32"/>
      <c r="G47" s="32"/>
      <c r="H47" s="32">
        <f>950.29+415.56+956.53+30+130+425.78</f>
        <v>2908.16</v>
      </c>
      <c r="I47" s="32">
        <f>950.29+876.64+46+202.84+383.3+1977.82+107+341.4+3175.04</f>
        <v>8060.33</v>
      </c>
      <c r="J47" s="32">
        <f>314.05+1571.21+950.29+96.76+334.99+73+684+100.02</f>
        <v>4124.3200000000006</v>
      </c>
      <c r="K47" s="90">
        <f>950.29+245.28+1346.22+449.77+522.3+675+445+3642.66+115+700+182.76+663.42</f>
        <v>9937.7000000000007</v>
      </c>
      <c r="L47" s="33">
        <f t="shared" si="6"/>
        <v>29193.260000000002</v>
      </c>
    </row>
    <row r="48" spans="1:14">
      <c r="A48" s="38" t="s">
        <v>34</v>
      </c>
      <c r="B48" s="30" t="s">
        <v>86</v>
      </c>
      <c r="C48" s="31">
        <v>2100</v>
      </c>
      <c r="D48" s="32">
        <v>0</v>
      </c>
      <c r="E48" s="71">
        <v>0</v>
      </c>
      <c r="F48" s="71"/>
      <c r="G48" s="71"/>
      <c r="H48" s="71">
        <f>115+115+230+230+115+230+230+230+230+230</f>
        <v>1955</v>
      </c>
      <c r="I48" s="71">
        <f>115+345+359+115+115+115+115+460</f>
        <v>1739</v>
      </c>
      <c r="J48" s="71">
        <f>115+115+345+115+115</f>
        <v>805</v>
      </c>
      <c r="K48" s="91">
        <f>575+575+575+230</f>
        <v>1955</v>
      </c>
      <c r="L48" s="33">
        <f t="shared" si="6"/>
        <v>8554</v>
      </c>
      <c r="M48" s="68"/>
    </row>
    <row r="49" spans="1:14">
      <c r="A49" s="38" t="s">
        <v>60</v>
      </c>
      <c r="B49" s="30" t="s">
        <v>110</v>
      </c>
      <c r="C49" s="31">
        <f>1180</f>
        <v>1180</v>
      </c>
      <c r="D49" s="32">
        <v>1174.97</v>
      </c>
      <c r="E49" s="32">
        <v>0</v>
      </c>
      <c r="F49" s="32"/>
      <c r="G49" s="32"/>
      <c r="H49" s="32">
        <f>1000</f>
        <v>1000</v>
      </c>
      <c r="I49" s="32">
        <v>1000</v>
      </c>
      <c r="J49" s="32">
        <f>1000</f>
        <v>1000</v>
      </c>
      <c r="K49" s="90">
        <f>4323.95+130+40</f>
        <v>4493.95</v>
      </c>
      <c r="L49" s="33">
        <f t="shared" si="6"/>
        <v>9848.92</v>
      </c>
    </row>
    <row r="50" spans="1:14">
      <c r="A50" s="38" t="s">
        <v>61</v>
      </c>
      <c r="B50" s="30" t="s">
        <v>52</v>
      </c>
      <c r="C50" s="31">
        <v>585</v>
      </c>
      <c r="D50" s="32">
        <v>0</v>
      </c>
      <c r="E50" s="32">
        <v>0</v>
      </c>
      <c r="F50" s="32"/>
      <c r="G50" s="32"/>
      <c r="H50" s="32">
        <v>0</v>
      </c>
      <c r="I50" s="32">
        <v>0</v>
      </c>
      <c r="J50" s="32">
        <v>0</v>
      </c>
      <c r="K50" s="90">
        <v>0</v>
      </c>
      <c r="L50" s="33">
        <f t="shared" si="6"/>
        <v>585</v>
      </c>
    </row>
    <row r="51" spans="1:14">
      <c r="A51" s="38" t="s">
        <v>62</v>
      </c>
      <c r="B51" s="30" t="s">
        <v>99</v>
      </c>
      <c r="C51" s="31">
        <v>0</v>
      </c>
      <c r="D51" s="32">
        <v>69</v>
      </c>
      <c r="E51" s="32">
        <v>0</v>
      </c>
      <c r="F51" s="32"/>
      <c r="G51" s="32"/>
      <c r="H51" s="32">
        <v>94</v>
      </c>
      <c r="I51" s="32">
        <f>69+69</f>
        <v>138</v>
      </c>
      <c r="J51" s="32">
        <f>69</f>
        <v>69</v>
      </c>
      <c r="K51" s="90">
        <v>400</v>
      </c>
      <c r="L51" s="33">
        <f t="shared" si="6"/>
        <v>770</v>
      </c>
    </row>
    <row r="52" spans="1:14">
      <c r="A52" s="38" t="s">
        <v>63</v>
      </c>
      <c r="B52" s="30" t="s">
        <v>116</v>
      </c>
      <c r="C52" s="31">
        <v>200</v>
      </c>
      <c r="D52" s="32">
        <v>0</v>
      </c>
      <c r="E52" s="32">
        <v>0</v>
      </c>
      <c r="F52" s="32"/>
      <c r="G52" s="32"/>
      <c r="H52" s="32">
        <v>0</v>
      </c>
      <c r="I52" s="32">
        <v>0</v>
      </c>
      <c r="J52" s="32">
        <v>0</v>
      </c>
      <c r="K52" s="90">
        <v>0</v>
      </c>
      <c r="L52" s="33">
        <f t="shared" si="6"/>
        <v>200</v>
      </c>
      <c r="N52" s="68"/>
    </row>
    <row r="53" spans="1:14">
      <c r="A53" s="38" t="s">
        <v>64</v>
      </c>
      <c r="B53" s="29" t="s">
        <v>102</v>
      </c>
      <c r="C53" s="31">
        <v>0</v>
      </c>
      <c r="D53" s="32">
        <v>0</v>
      </c>
      <c r="E53" s="32">
        <v>0</v>
      </c>
      <c r="F53" s="32"/>
      <c r="G53" s="32"/>
      <c r="H53" s="32">
        <v>0</v>
      </c>
      <c r="I53" s="32">
        <v>0</v>
      </c>
      <c r="J53" s="32">
        <v>0</v>
      </c>
      <c r="K53" s="90">
        <v>0</v>
      </c>
      <c r="L53" s="33">
        <f t="shared" si="6"/>
        <v>0</v>
      </c>
    </row>
    <row r="54" spans="1:14">
      <c r="A54" s="38" t="s">
        <v>65</v>
      </c>
      <c r="B54" s="30" t="s">
        <v>103</v>
      </c>
      <c r="C54" s="31">
        <v>0</v>
      </c>
      <c r="D54" s="32">
        <v>0</v>
      </c>
      <c r="E54" s="32">
        <v>0</v>
      </c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6"/>
        <v>0</v>
      </c>
      <c r="M54" s="68"/>
    </row>
    <row r="55" spans="1:14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32"/>
      <c r="G55" s="32"/>
      <c r="H55" s="32">
        <f>200</f>
        <v>200</v>
      </c>
      <c r="I55" s="32">
        <f>320+100</f>
        <v>420</v>
      </c>
      <c r="J55" s="32">
        <f>100</f>
        <v>100</v>
      </c>
      <c r="K55" s="90">
        <f>100+400+500+520+200+329.09+225+70+55+750+129</f>
        <v>3278.09</v>
      </c>
      <c r="L55" s="33">
        <f t="shared" si="6"/>
        <v>3998.09</v>
      </c>
    </row>
    <row r="56" spans="1:14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32"/>
      <c r="G56" s="32"/>
      <c r="H56" s="32">
        <v>0</v>
      </c>
      <c r="I56" s="32">
        <v>0</v>
      </c>
      <c r="J56" s="32">
        <v>0</v>
      </c>
      <c r="K56" s="90">
        <v>0</v>
      </c>
      <c r="L56" s="33">
        <f t="shared" si="6"/>
        <v>0</v>
      </c>
    </row>
    <row r="57" spans="1:14">
      <c r="A57" s="38" t="s">
        <v>72</v>
      </c>
      <c r="B57" s="29" t="s">
        <v>57</v>
      </c>
      <c r="C57" s="31">
        <v>81.150000000000006</v>
      </c>
      <c r="D57" s="32">
        <v>40.75</v>
      </c>
      <c r="E57" s="32">
        <v>0</v>
      </c>
      <c r="F57" s="32"/>
      <c r="G57" s="32"/>
      <c r="H57" s="32">
        <f>24.8+22.2+9</f>
        <v>56</v>
      </c>
      <c r="I57" s="32">
        <f>32.55+22.2+9+6</f>
        <v>69.75</v>
      </c>
      <c r="J57" s="32">
        <f>40.3+22.2+19.8</f>
        <v>82.3</v>
      </c>
      <c r="K57" s="90">
        <f>6+41.85+22.2+21.6</f>
        <v>91.65</v>
      </c>
      <c r="L57" s="33">
        <f t="shared" si="6"/>
        <v>421.6</v>
      </c>
    </row>
    <row r="58" spans="1:14">
      <c r="A58" s="38" t="s">
        <v>73</v>
      </c>
      <c r="B58" s="30" t="s">
        <v>75</v>
      </c>
      <c r="C58" s="31">
        <v>75.8</v>
      </c>
      <c r="D58" s="32">
        <v>75.8</v>
      </c>
      <c r="E58" s="32">
        <v>0</v>
      </c>
      <c r="F58" s="32"/>
      <c r="G58" s="32"/>
      <c r="H58" s="32">
        <v>0</v>
      </c>
      <c r="I58" s="32">
        <v>0</v>
      </c>
      <c r="J58" s="32">
        <v>0</v>
      </c>
      <c r="K58" s="90">
        <v>0</v>
      </c>
      <c r="L58" s="33">
        <f t="shared" si="6"/>
        <v>151.6</v>
      </c>
    </row>
    <row r="59" spans="1:14">
      <c r="A59" s="38" t="s">
        <v>74</v>
      </c>
      <c r="B59" s="30" t="s">
        <v>98</v>
      </c>
      <c r="C59" s="31">
        <v>872.55</v>
      </c>
      <c r="D59" s="32">
        <v>827.55</v>
      </c>
      <c r="E59" s="32">
        <v>0</v>
      </c>
      <c r="F59" s="32"/>
      <c r="G59" s="32"/>
      <c r="H59" s="32">
        <v>827.55</v>
      </c>
      <c r="I59" s="32">
        <f>827.55</f>
        <v>827.55</v>
      </c>
      <c r="J59" s="32">
        <v>827.55</v>
      </c>
      <c r="K59" s="90">
        <v>827.55</v>
      </c>
      <c r="L59" s="33">
        <f t="shared" si="6"/>
        <v>5010.3</v>
      </c>
    </row>
    <row r="60" spans="1:14">
      <c r="A60" s="38" t="s">
        <v>81</v>
      </c>
      <c r="B60" s="30" t="s">
        <v>82</v>
      </c>
      <c r="C60" s="31">
        <f>271.71</f>
        <v>271.70999999999998</v>
      </c>
      <c r="D60" s="32">
        <f>201.88+91.49</f>
        <v>293.37</v>
      </c>
      <c r="E60" s="32">
        <v>0</v>
      </c>
      <c r="F60" s="32"/>
      <c r="G60" s="32"/>
      <c r="H60" s="32">
        <f>161.11+290.08+57.29</f>
        <v>508.48</v>
      </c>
      <c r="I60" s="32">
        <f>226.99+38.66</f>
        <v>265.64999999999998</v>
      </c>
      <c r="J60" s="32">
        <f>377.26+218.95+34.88</f>
        <v>631.09</v>
      </c>
      <c r="K60" s="90">
        <f>244.35</f>
        <v>244.35</v>
      </c>
      <c r="L60" s="33">
        <f t="shared" si="6"/>
        <v>2214.65</v>
      </c>
    </row>
    <row r="61" spans="1:14">
      <c r="A61" s="38" t="s">
        <v>112</v>
      </c>
      <c r="B61" s="30" t="s">
        <v>121</v>
      </c>
      <c r="C61" s="31">
        <v>0</v>
      </c>
      <c r="D61" s="32">
        <v>0</v>
      </c>
      <c r="E61" s="32"/>
      <c r="F61" s="32"/>
      <c r="G61" s="32"/>
      <c r="H61" s="32">
        <v>2109.62</v>
      </c>
      <c r="I61" s="32">
        <v>0</v>
      </c>
      <c r="J61" s="32">
        <v>0</v>
      </c>
      <c r="K61" s="90">
        <v>0</v>
      </c>
      <c r="L61" s="33">
        <f t="shared" si="6"/>
        <v>2109.62</v>
      </c>
    </row>
    <row r="62" spans="1:14" ht="16.5" thickBot="1">
      <c r="A62" s="99" t="s">
        <v>120</v>
      </c>
      <c r="B62" s="41" t="s">
        <v>113</v>
      </c>
      <c r="C62" s="40">
        <v>0</v>
      </c>
      <c r="D62" s="42">
        <v>0</v>
      </c>
      <c r="E62" s="42"/>
      <c r="F62" s="42"/>
      <c r="G62" s="42"/>
      <c r="H62" s="42">
        <v>0</v>
      </c>
      <c r="I62" s="42">
        <f>234</f>
        <v>234</v>
      </c>
      <c r="J62" s="42">
        <f>234+249.9+590+424</f>
        <v>1497.9</v>
      </c>
      <c r="K62" s="92">
        <f>234+1050</f>
        <v>1284</v>
      </c>
      <c r="L62" s="33">
        <f t="shared" si="6"/>
        <v>3015.9</v>
      </c>
    </row>
    <row r="63" spans="1:14" ht="17.25" thickTop="1" thickBot="1">
      <c r="A63" s="189" t="s">
        <v>0</v>
      </c>
      <c r="B63" s="190"/>
      <c r="C63" s="61">
        <f>SUM(C35:C62)</f>
        <v>13066.479999999998</v>
      </c>
      <c r="D63" s="61">
        <f>SUM(D35:D62)</f>
        <v>13534.8</v>
      </c>
      <c r="E63" s="61">
        <f>SUM(E35:E60)</f>
        <v>0</v>
      </c>
      <c r="F63" s="96">
        <f>SUM(F35:F62)</f>
        <v>0</v>
      </c>
      <c r="G63" s="96">
        <f>SUM(G35:G62)</f>
        <v>0</v>
      </c>
      <c r="H63" s="96">
        <f>SUM(H34:H62)</f>
        <v>14437.689999999999</v>
      </c>
      <c r="I63" s="96">
        <f>SUM(I34:I62)</f>
        <v>19260.510000000002</v>
      </c>
      <c r="J63" s="96">
        <f>SUM(J34:J62)</f>
        <v>14667.789999999999</v>
      </c>
      <c r="K63" s="96">
        <f>SUM(K34:K62)</f>
        <v>25920.98</v>
      </c>
      <c r="L63" s="62">
        <f>SUM(C63:H63)</f>
        <v>41038.97</v>
      </c>
    </row>
    <row r="64" spans="1:14" ht="17.25" thickTop="1" thickBot="1">
      <c r="A64" s="169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1"/>
    </row>
    <row r="65" spans="1:14" ht="19.899999999999999" customHeight="1" thickTop="1" thickBot="1">
      <c r="A65" s="176" t="s">
        <v>35</v>
      </c>
      <c r="B65" s="177"/>
      <c r="C65" s="51">
        <f>C29+C63</f>
        <v>17050.159999999996</v>
      </c>
      <c r="D65" s="51">
        <f>D29+D63</f>
        <v>17545.29</v>
      </c>
      <c r="E65" s="51">
        <f t="shared" ref="E65:I65" si="7">E29+E63</f>
        <v>0</v>
      </c>
      <c r="F65" s="51">
        <f t="shared" si="7"/>
        <v>0</v>
      </c>
      <c r="G65" s="51">
        <f t="shared" si="7"/>
        <v>0</v>
      </c>
      <c r="H65" s="51">
        <f t="shared" si="7"/>
        <v>19141.62</v>
      </c>
      <c r="I65" s="51">
        <f t="shared" si="7"/>
        <v>22573.280000000002</v>
      </c>
      <c r="J65" s="51">
        <f>J29+J63</f>
        <v>19050.87</v>
      </c>
      <c r="K65" s="51">
        <f>K29+K63</f>
        <v>30436.19</v>
      </c>
      <c r="L65" s="51">
        <f>L29+L63</f>
        <v>65948.13</v>
      </c>
      <c r="N65" s="68"/>
    </row>
    <row r="66" spans="1:14" ht="17.25" thickTop="1" thickBot="1">
      <c r="A66" s="173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5"/>
    </row>
    <row r="67" spans="1:14" ht="17.25" thickTop="1" thickBot="1">
      <c r="A67" s="178" t="s">
        <v>36</v>
      </c>
      <c r="B67" s="179"/>
      <c r="C67" s="52">
        <f>C14-C65</f>
        <v>8660.9099999999926</v>
      </c>
      <c r="D67" s="52">
        <f>D14-D65</f>
        <v>13938.239999999991</v>
      </c>
      <c r="E67" s="52">
        <f t="shared" ref="E67:I67" si="8">E14-E65</f>
        <v>0</v>
      </c>
      <c r="F67" s="52">
        <f t="shared" si="8"/>
        <v>0</v>
      </c>
      <c r="G67" s="52">
        <f t="shared" si="8"/>
        <v>0</v>
      </c>
      <c r="H67" s="52">
        <f t="shared" si="8"/>
        <v>15108.159999999993</v>
      </c>
      <c r="I67" s="52">
        <f t="shared" si="8"/>
        <v>13399.869999999992</v>
      </c>
      <c r="J67" s="52">
        <f>J14-J65+1726.88</f>
        <v>18260.03</v>
      </c>
      <c r="K67" s="52">
        <f>K14-K65+498.33</f>
        <v>6708.1900000000041</v>
      </c>
      <c r="L67" s="52"/>
    </row>
    <row r="68" spans="1:14" ht="16.5" thickTop="1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4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4" ht="18">
      <c r="A70" s="20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</row>
    <row r="71" spans="1:14">
      <c r="C71" s="43"/>
    </row>
    <row r="73" spans="1:14">
      <c r="A73" s="181" t="s">
        <v>105</v>
      </c>
      <c r="B73" s="181"/>
      <c r="C73" s="172" t="s">
        <v>106</v>
      </c>
      <c r="D73" s="172"/>
      <c r="E73" s="172"/>
      <c r="F73" s="172"/>
      <c r="G73" s="172"/>
      <c r="H73" s="172"/>
      <c r="I73" s="172"/>
      <c r="J73" s="172"/>
      <c r="K73" s="172"/>
      <c r="L73" s="172"/>
    </row>
    <row r="74" spans="1:14" ht="20.25">
      <c r="A74" s="182" t="s">
        <v>104</v>
      </c>
      <c r="B74" s="182"/>
      <c r="C74" s="83"/>
      <c r="D74" s="104" t="s">
        <v>69</v>
      </c>
      <c r="E74" s="103"/>
      <c r="F74" s="103"/>
      <c r="G74" s="103"/>
      <c r="H74" s="124"/>
      <c r="I74" s="127"/>
      <c r="J74" s="127"/>
      <c r="K74" s="130"/>
      <c r="L74" s="103"/>
    </row>
    <row r="75" spans="1:14" ht="20.25">
      <c r="A75" s="183" t="s">
        <v>107</v>
      </c>
      <c r="B75" s="183"/>
      <c r="C75" s="83"/>
      <c r="D75" s="105" t="s">
        <v>87</v>
      </c>
      <c r="E75" s="102"/>
      <c r="F75" s="102"/>
      <c r="G75" s="102"/>
      <c r="H75" s="123"/>
      <c r="I75" s="126"/>
      <c r="J75" s="126"/>
      <c r="K75" s="129"/>
      <c r="L75" s="102"/>
    </row>
  </sheetData>
  <mergeCells count="19">
    <mergeCell ref="A75:B75"/>
    <mergeCell ref="A66:L66"/>
    <mergeCell ref="A67:B67"/>
    <mergeCell ref="B70:L70"/>
    <mergeCell ref="A73:B73"/>
    <mergeCell ref="C73:L73"/>
    <mergeCell ref="A74:B74"/>
    <mergeCell ref="A65:B65"/>
    <mergeCell ref="A1:L2"/>
    <mergeCell ref="A3:L3"/>
    <mergeCell ref="A4:L4"/>
    <mergeCell ref="A14:B14"/>
    <mergeCell ref="A16:L16"/>
    <mergeCell ref="A17:L17"/>
    <mergeCell ref="A18:L18"/>
    <mergeCell ref="A29:B29"/>
    <mergeCell ref="A31:L31"/>
    <mergeCell ref="A63:B63"/>
    <mergeCell ref="A64:L64"/>
  </mergeCells>
  <pageMargins left="0.51181102362204722" right="0.31496062992125984" top="0.59055118110236227" bottom="0.39370078740157483" header="0.31496062992125984" footer="0.31496062992125984"/>
  <pageSetup paperSize="9"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>
      <selection sqref="A1:L2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0.125" style="1" bestFit="1" customWidth="1"/>
  </cols>
  <sheetData>
    <row r="1" spans="1:12" ht="16.5" thickTop="1">
      <c r="A1" s="163" t="s">
        <v>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6.5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7.25" thickTop="1" thickBo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7.25" thickTop="1" thickBot="1">
      <c r="A4" s="176" t="s">
        <v>12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77"/>
    </row>
    <row r="5" spans="1:12" ht="17.25" thickTop="1" thickBot="1">
      <c r="A5" s="75" t="s">
        <v>13</v>
      </c>
      <c r="B5" s="18" t="s">
        <v>14</v>
      </c>
      <c r="C5" s="125">
        <v>41091</v>
      </c>
      <c r="D5" s="125">
        <v>41122</v>
      </c>
      <c r="E5" s="125">
        <v>41153</v>
      </c>
      <c r="F5" s="125">
        <v>41183</v>
      </c>
      <c r="G5" s="125">
        <v>41214</v>
      </c>
      <c r="H5" s="125">
        <v>41153</v>
      </c>
      <c r="I5" s="125">
        <v>41183</v>
      </c>
      <c r="J5" s="125">
        <v>41214</v>
      </c>
      <c r="K5" s="125">
        <v>41244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'Balancete-demonstrativo'!G66</f>
        <v>8159.8499999999876</v>
      </c>
      <c r="D6" s="57">
        <f>C$67</f>
        <v>8660.9099999999926</v>
      </c>
      <c r="E6" s="57">
        <v>0</v>
      </c>
      <c r="F6" s="86"/>
      <c r="G6" s="86"/>
      <c r="H6" s="86">
        <f>D67</f>
        <v>13938.239999999991</v>
      </c>
      <c r="I6" s="86">
        <f>H67</f>
        <v>15108.159999999993</v>
      </c>
      <c r="J6" s="86">
        <f>I67</f>
        <v>13549.869999999992</v>
      </c>
      <c r="K6" s="86"/>
      <c r="L6" s="58"/>
    </row>
    <row r="7" spans="1:12">
      <c r="A7" s="64">
        <v>2</v>
      </c>
      <c r="B7" s="53" t="s">
        <v>39</v>
      </c>
      <c r="C7" s="54">
        <f>1539.53+16011.69</f>
        <v>17551.22</v>
      </c>
      <c r="D7" s="54">
        <f>1572.25+15956.45</f>
        <v>17528.7</v>
      </c>
      <c r="E7" s="54">
        <v>0</v>
      </c>
      <c r="F7" s="87"/>
      <c r="G7" s="87"/>
      <c r="H7" s="87">
        <f>1617.04+1799.12+16314.84</f>
        <v>19731</v>
      </c>
      <c r="I7" s="87">
        <f>1817.77+18393.63</f>
        <v>20211.400000000001</v>
      </c>
      <c r="J7" s="87">
        <f>1817.77+18370.2</f>
        <v>20187.97</v>
      </c>
      <c r="K7" s="87"/>
      <c r="L7" s="55">
        <f>SUM(C7:G7)</f>
        <v>35079.919999999998</v>
      </c>
    </row>
    <row r="8" spans="1:12">
      <c r="A8" s="65">
        <v>3</v>
      </c>
      <c r="B8" s="28" t="s">
        <v>38</v>
      </c>
      <c r="C8" s="45">
        <v>0</v>
      </c>
      <c r="D8" s="45">
        <v>378.51</v>
      </c>
      <c r="E8" s="45">
        <v>0</v>
      </c>
      <c r="F8" s="87"/>
      <c r="G8" s="87"/>
      <c r="H8" s="87">
        <f>290.27+290.27</f>
        <v>580.54</v>
      </c>
      <c r="I8" s="87">
        <f>345.82</f>
        <v>345.82</v>
      </c>
      <c r="J8" s="87">
        <v>442.12</v>
      </c>
      <c r="K8" s="87"/>
      <c r="L8" s="55">
        <f>SUM(C8:H8)</f>
        <v>959.05</v>
      </c>
    </row>
    <row r="9" spans="1:12">
      <c r="A9" s="65">
        <v>4</v>
      </c>
      <c r="B9" s="29" t="s">
        <v>100</v>
      </c>
      <c r="C9" s="70">
        <v>0</v>
      </c>
      <c r="D9" s="45">
        <f>1000+1000+37.66+20+463.45+2394.3</f>
        <v>4915.41</v>
      </c>
      <c r="E9" s="45">
        <v>0</v>
      </c>
      <c r="F9" s="87"/>
      <c r="G9" s="87"/>
      <c r="H9" s="87">
        <v>0</v>
      </c>
      <c r="I9" s="87">
        <f>279.77+28</f>
        <v>307.77</v>
      </c>
      <c r="J9" s="87">
        <f>1208.24+345.82</f>
        <v>1554.06</v>
      </c>
      <c r="K9" s="87"/>
      <c r="L9" s="55">
        <f t="shared" ref="L9" si="0">SUM(C9:E9)</f>
        <v>4915.41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>
        <v>0</v>
      </c>
      <c r="F10" s="87"/>
      <c r="G10" s="87"/>
      <c r="H10" s="87">
        <v>0</v>
      </c>
      <c r="I10" s="87">
        <v>0</v>
      </c>
      <c r="J10" s="87">
        <v>0</v>
      </c>
      <c r="K10" s="87"/>
      <c r="L10" s="55">
        <f>SUM(C10:F10)</f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>
        <v>0</v>
      </c>
      <c r="F11" s="87"/>
      <c r="G11" s="87"/>
      <c r="H11" s="87">
        <v>0</v>
      </c>
      <c r="I11" s="87">
        <v>0</v>
      </c>
      <c r="J11" s="87">
        <v>0</v>
      </c>
      <c r="K11" s="87"/>
      <c r="L11" s="55">
        <f>SUM(C11:F11)</f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>
        <v>0</v>
      </c>
      <c r="F12" s="87"/>
      <c r="G12" s="87"/>
      <c r="H12" s="87">
        <v>0</v>
      </c>
      <c r="I12" s="87">
        <v>0</v>
      </c>
      <c r="J12" s="87">
        <v>0</v>
      </c>
      <c r="K12" s="87"/>
      <c r="L12" s="55">
        <f>SUM(C12:F12)</f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>
        <v>0</v>
      </c>
      <c r="F13" s="88"/>
      <c r="G13" s="88"/>
      <c r="H13" s="88">
        <v>0</v>
      </c>
      <c r="I13" s="88">
        <v>0</v>
      </c>
      <c r="J13" s="88">
        <v>0</v>
      </c>
      <c r="K13" s="88"/>
      <c r="L13" s="109">
        <f>SUM(C13:F13)</f>
        <v>0</v>
      </c>
    </row>
    <row r="14" spans="1:12" ht="16.5" thickBot="1">
      <c r="A14" s="167" t="s">
        <v>0</v>
      </c>
      <c r="B14" s="168"/>
      <c r="C14" s="114">
        <f t="shared" ref="C14:J14" si="1">SUM(C6:C13)</f>
        <v>25711.069999999989</v>
      </c>
      <c r="D14" s="114">
        <f t="shared" si="1"/>
        <v>31483.529999999992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34249.779999999992</v>
      </c>
      <c r="I14" s="115">
        <f t="shared" si="1"/>
        <v>35973.149999999994</v>
      </c>
      <c r="J14" s="115">
        <f t="shared" si="1"/>
        <v>35734.019999999997</v>
      </c>
      <c r="K14" s="115"/>
      <c r="L14" s="116">
        <f>SUM(L7:L13)</f>
        <v>40954.380000000005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76" t="s">
        <v>118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77"/>
    </row>
    <row r="17" spans="1:14" ht="17.25" thickTop="1" thickBo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1"/>
    </row>
    <row r="18" spans="1:14" ht="19.899999999999999" customHeight="1" thickTop="1" thickBot="1">
      <c r="A18" s="176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77"/>
    </row>
    <row r="19" spans="1:14" ht="31.5" thickTop="1" thickBot="1">
      <c r="A19" s="76" t="s">
        <v>13</v>
      </c>
      <c r="B19" s="19" t="s">
        <v>14</v>
      </c>
      <c r="C19" s="125">
        <v>40909</v>
      </c>
      <c r="D19" s="125">
        <v>40940</v>
      </c>
      <c r="E19" s="73">
        <f>E5</f>
        <v>41153</v>
      </c>
      <c r="F19" s="73" t="s">
        <v>108</v>
      </c>
      <c r="G19" s="73" t="s">
        <v>109</v>
      </c>
      <c r="H19" s="125">
        <f>H5</f>
        <v>41153</v>
      </c>
      <c r="I19" s="125">
        <f t="shared" ref="I19:J19" si="2">I5</f>
        <v>41183</v>
      </c>
      <c r="J19" s="125">
        <f t="shared" si="2"/>
        <v>41214</v>
      </c>
      <c r="K19" s="125"/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f>1147.5+765+60.05</f>
        <v>1972.55</v>
      </c>
      <c r="D21" s="32">
        <f>765+765</f>
        <v>1530</v>
      </c>
      <c r="E21" s="32">
        <v>0</v>
      </c>
      <c r="F21" s="90"/>
      <c r="G21" s="90"/>
      <c r="H21" s="90">
        <f>933+933</f>
        <v>1866</v>
      </c>
      <c r="I21" s="90">
        <f>933</f>
        <v>933</v>
      </c>
      <c r="J21" s="90">
        <f>933+933</f>
        <v>1866</v>
      </c>
      <c r="K21" s="90"/>
      <c r="L21" s="33">
        <f>SUM(C21:G21)</f>
        <v>3502.55</v>
      </c>
    </row>
    <row r="22" spans="1:14">
      <c r="A22" s="66" t="s">
        <v>19</v>
      </c>
      <c r="B22" s="30" t="s">
        <v>42</v>
      </c>
      <c r="C22" s="31">
        <f>150+150</f>
        <v>300</v>
      </c>
      <c r="D22" s="32">
        <f>150+150</f>
        <v>300</v>
      </c>
      <c r="E22" s="32">
        <v>0</v>
      </c>
      <c r="F22" s="90"/>
      <c r="G22" s="90"/>
      <c r="H22" s="90">
        <f>150+150</f>
        <v>300</v>
      </c>
      <c r="I22" s="90">
        <f>150</f>
        <v>150</v>
      </c>
      <c r="J22" s="90">
        <f>150+150</f>
        <v>300</v>
      </c>
      <c r="K22" s="90"/>
      <c r="L22" s="33">
        <f t="shared" ref="L22" si="3">SUM(C22:G22)</f>
        <v>600</v>
      </c>
    </row>
    <row r="23" spans="1:14">
      <c r="A23" s="66" t="s">
        <v>20</v>
      </c>
      <c r="B23" s="30" t="s">
        <v>21</v>
      </c>
      <c r="C23" s="31">
        <v>711.13</v>
      </c>
      <c r="D23" s="32">
        <v>451.35</v>
      </c>
      <c r="E23" s="32">
        <v>0</v>
      </c>
      <c r="F23" s="90"/>
      <c r="G23" s="90"/>
      <c r="H23" s="90">
        <v>580.38</v>
      </c>
      <c r="I23" s="90">
        <v>279.77</v>
      </c>
      <c r="J23" s="90">
        <v>559.54999999999995</v>
      </c>
      <c r="K23" s="90"/>
      <c r="L23" s="33">
        <f>SUM(C23:J23)</f>
        <v>2582.1800000000003</v>
      </c>
    </row>
    <row r="24" spans="1:14">
      <c r="A24" s="66" t="s">
        <v>22</v>
      </c>
      <c r="B24" s="30" t="s">
        <v>23</v>
      </c>
      <c r="C24" s="31">
        <v>0</v>
      </c>
      <c r="D24" s="32">
        <v>129.13999999999999</v>
      </c>
      <c r="E24" s="32">
        <v>0</v>
      </c>
      <c r="F24" s="90"/>
      <c r="G24" s="90"/>
      <c r="H24" s="90">
        <v>157.55000000000001</v>
      </c>
      <c r="I24" s="90">
        <v>0</v>
      </c>
      <c r="J24" s="90">
        <v>157.53</v>
      </c>
      <c r="K24" s="90"/>
      <c r="L24" s="33">
        <f>SUM(C24:J24)</f>
        <v>444.22</v>
      </c>
    </row>
    <row r="25" spans="1:14">
      <c r="A25" s="66" t="s">
        <v>24</v>
      </c>
      <c r="B25" s="30" t="s">
        <v>41</v>
      </c>
      <c r="C25" s="31">
        <v>0</v>
      </c>
      <c r="D25" s="32">
        <v>600</v>
      </c>
      <c r="E25" s="71">
        <v>0</v>
      </c>
      <c r="F25" s="91"/>
      <c r="G25" s="91"/>
      <c r="H25" s="91">
        <v>300</v>
      </c>
      <c r="I25" s="91">
        <v>300</v>
      </c>
      <c r="J25" s="91">
        <v>0</v>
      </c>
      <c r="K25" s="91"/>
      <c r="L25" s="33">
        <f>SUM(C25:J25)</f>
        <v>1200</v>
      </c>
    </row>
    <row r="26" spans="1:14">
      <c r="A26" s="66" t="s">
        <v>29</v>
      </c>
      <c r="B26" s="30" t="s">
        <v>43</v>
      </c>
      <c r="C26" s="31">
        <v>1000</v>
      </c>
      <c r="D26" s="32">
        <v>1000</v>
      </c>
      <c r="E26" s="32">
        <v>0</v>
      </c>
      <c r="F26" s="90"/>
      <c r="G26" s="90"/>
      <c r="H26" s="90">
        <v>1500</v>
      </c>
      <c r="I26" s="90">
        <v>1500</v>
      </c>
      <c r="J26" s="90">
        <v>1500</v>
      </c>
      <c r="K26" s="90"/>
      <c r="L26" s="33">
        <f>SUM(C26:J26)</f>
        <v>6500</v>
      </c>
    </row>
    <row r="27" spans="1:14">
      <c r="A27" s="117" t="s">
        <v>25</v>
      </c>
      <c r="B27" s="118" t="s">
        <v>97</v>
      </c>
      <c r="C27" s="119">
        <v>0</v>
      </c>
      <c r="D27" s="120">
        <v>0</v>
      </c>
      <c r="E27" s="120">
        <v>0</v>
      </c>
      <c r="F27" s="121"/>
      <c r="G27" s="121"/>
      <c r="H27" s="121">
        <v>0</v>
      </c>
      <c r="I27" s="121">
        <v>0</v>
      </c>
      <c r="J27" s="121">
        <v>0</v>
      </c>
      <c r="K27" s="121"/>
      <c r="L27" s="122">
        <f>SUM(C27:J27)</f>
        <v>0</v>
      </c>
    </row>
    <row r="28" spans="1:14" ht="16.5" thickBot="1">
      <c r="A28" s="67"/>
      <c r="B28" s="41"/>
      <c r="C28" s="40"/>
      <c r="D28" s="42"/>
      <c r="E28" s="42">
        <v>0</v>
      </c>
      <c r="F28" s="92"/>
      <c r="G28" s="92"/>
      <c r="H28" s="92"/>
      <c r="I28" s="92"/>
      <c r="J28" s="92"/>
      <c r="K28" s="92"/>
      <c r="L28" s="44">
        <f>SUM(C28:E28)</f>
        <v>0</v>
      </c>
    </row>
    <row r="29" spans="1:14" ht="17.25" thickTop="1" thickBot="1">
      <c r="A29" s="187" t="s">
        <v>15</v>
      </c>
      <c r="B29" s="188"/>
      <c r="C29" s="59">
        <f>SUM(C21:C28)</f>
        <v>3983.6800000000003</v>
      </c>
      <c r="D29" s="59">
        <f>SUM(D21:D28)</f>
        <v>4010.49</v>
      </c>
      <c r="E29" s="59">
        <f>SUM(E21:E28)</f>
        <v>0</v>
      </c>
      <c r="F29" s="93">
        <f>SUM(F21:F27)</f>
        <v>0</v>
      </c>
      <c r="G29" s="93">
        <f>SUM(G21:G28)</f>
        <v>0</v>
      </c>
      <c r="H29" s="93">
        <f>SUM(H21:H28)</f>
        <v>4703.93</v>
      </c>
      <c r="I29" s="93">
        <f>SUM(I21:I28)</f>
        <v>3162.77</v>
      </c>
      <c r="J29" s="93">
        <f>SUM(J21:J28)</f>
        <v>4383.08</v>
      </c>
      <c r="K29" s="93"/>
      <c r="L29" s="60">
        <f>SUM(L21:L28)</f>
        <v>14828.95</v>
      </c>
      <c r="N29" s="82"/>
    </row>
    <row r="30" spans="1:14" ht="17.25" thickTop="1" thickBo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4" ht="19.899999999999999" customHeight="1" thickTop="1" thickBot="1">
      <c r="A31" s="184" t="s">
        <v>28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6"/>
    </row>
    <row r="32" spans="1:14" ht="17.25" thickTop="1" thickBo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</row>
    <row r="33" spans="1:14" ht="17.25" thickTop="1" thickBot="1">
      <c r="A33" s="77" t="s">
        <v>13</v>
      </c>
      <c r="B33" s="78" t="s">
        <v>14</v>
      </c>
      <c r="C33" s="125">
        <v>40909</v>
      </c>
      <c r="D33" s="125">
        <v>40940</v>
      </c>
      <c r="E33" s="73">
        <f>E5</f>
        <v>41153</v>
      </c>
      <c r="F33" s="94" t="s">
        <v>108</v>
      </c>
      <c r="G33" s="94" t="s">
        <v>109</v>
      </c>
      <c r="H33" s="128">
        <f>H19</f>
        <v>41153</v>
      </c>
      <c r="I33" s="128">
        <f t="shared" ref="I33:J33" si="4">I19</f>
        <v>41183</v>
      </c>
      <c r="J33" s="128">
        <f t="shared" si="4"/>
        <v>41214</v>
      </c>
      <c r="K33" s="128"/>
      <c r="L33" s="79" t="s">
        <v>15</v>
      </c>
    </row>
    <row r="34" spans="1:14" ht="16.5" thickTop="1">
      <c r="A34" s="46"/>
      <c r="B34" s="47"/>
      <c r="C34" s="48"/>
      <c r="D34" s="47"/>
      <c r="E34" s="47"/>
      <c r="F34" s="95"/>
      <c r="G34" s="95"/>
      <c r="H34" s="95"/>
      <c r="I34" s="95"/>
      <c r="J34" s="95"/>
      <c r="K34" s="95"/>
      <c r="L34" s="49"/>
    </row>
    <row r="35" spans="1:14">
      <c r="A35" s="38" t="s">
        <v>18</v>
      </c>
      <c r="B35" s="30" t="s">
        <v>44</v>
      </c>
      <c r="C35" s="31">
        <v>1874.14</v>
      </c>
      <c r="D35" s="32">
        <f>1874.14+1874.14</f>
        <v>3748.28</v>
      </c>
      <c r="E35" s="32">
        <v>0</v>
      </c>
      <c r="F35" s="90"/>
      <c r="G35" s="90"/>
      <c r="H35" s="90">
        <f>1874.14+528.95</f>
        <v>2403.09</v>
      </c>
      <c r="I35" s="90">
        <f>1874.14+101.5+74.97+528.95+630</f>
        <v>3209.5600000000004</v>
      </c>
      <c r="J35" s="90">
        <f>1874.14+101.5+74.97+528.95</f>
        <v>2579.5600000000004</v>
      </c>
      <c r="K35" s="90"/>
      <c r="L35" s="33">
        <f>SUM(C35:G35)</f>
        <v>5622.42</v>
      </c>
    </row>
    <row r="36" spans="1:14">
      <c r="A36" s="38" t="s">
        <v>19</v>
      </c>
      <c r="B36" s="30" t="s">
        <v>117</v>
      </c>
      <c r="C36" s="31">
        <v>0</v>
      </c>
      <c r="D36" s="32">
        <f>449.82+609+101.5+74.97+528.95+1335.67</f>
        <v>3099.91</v>
      </c>
      <c r="E36" s="32">
        <v>0</v>
      </c>
      <c r="F36" s="90"/>
      <c r="G36" s="90"/>
      <c r="H36" s="90">
        <f>101.5+74.97</f>
        <v>176.47</v>
      </c>
      <c r="I36" s="90">
        <v>0</v>
      </c>
      <c r="J36" s="90">
        <v>0</v>
      </c>
      <c r="K36" s="90"/>
      <c r="L36" s="33">
        <f t="shared" ref="L36:L60" si="5">SUM(C36:G36)</f>
        <v>3099.91</v>
      </c>
    </row>
    <row r="37" spans="1:14">
      <c r="A37" s="38" t="s">
        <v>20</v>
      </c>
      <c r="B37" s="30" t="s">
        <v>119</v>
      </c>
      <c r="C37" s="31">
        <v>0</v>
      </c>
      <c r="D37" s="32">
        <v>0</v>
      </c>
      <c r="E37" s="32">
        <v>0</v>
      </c>
      <c r="F37" s="90"/>
      <c r="G37" s="90"/>
      <c r="H37" s="90">
        <f>1335.67</f>
        <v>1335.67</v>
      </c>
      <c r="I37" s="90">
        <f>1335.67</f>
        <v>1335.67</v>
      </c>
      <c r="J37" s="90">
        <f>1335.67</f>
        <v>1335.67</v>
      </c>
      <c r="K37" s="90"/>
      <c r="L37" s="33">
        <f t="shared" si="5"/>
        <v>0</v>
      </c>
    </row>
    <row r="38" spans="1:14">
      <c r="A38" s="38" t="s">
        <v>22</v>
      </c>
      <c r="B38" s="30" t="s">
        <v>84</v>
      </c>
      <c r="C38" s="31">
        <v>0</v>
      </c>
      <c r="D38" s="32">
        <v>0</v>
      </c>
      <c r="E38" s="32">
        <v>0</v>
      </c>
      <c r="F38" s="90"/>
      <c r="G38" s="90"/>
      <c r="H38" s="90">
        <v>0</v>
      </c>
      <c r="I38" s="90">
        <v>0</v>
      </c>
      <c r="J38" s="90">
        <v>0</v>
      </c>
      <c r="K38" s="90"/>
      <c r="L38" s="33">
        <f>SUM(C38:J38)</f>
        <v>0</v>
      </c>
    </row>
    <row r="39" spans="1:14">
      <c r="A39" s="38" t="s">
        <v>24</v>
      </c>
      <c r="B39" s="30" t="s">
        <v>101</v>
      </c>
      <c r="C39" s="31">
        <f>100</f>
        <v>100</v>
      </c>
      <c r="D39" s="32">
        <v>0</v>
      </c>
      <c r="E39" s="32">
        <v>0</v>
      </c>
      <c r="F39" s="90"/>
      <c r="G39" s="90"/>
      <c r="H39" s="90">
        <v>0</v>
      </c>
      <c r="I39" s="90">
        <v>0</v>
      </c>
      <c r="J39" s="90">
        <v>0</v>
      </c>
      <c r="K39" s="90"/>
      <c r="L39" s="33">
        <f t="shared" si="5"/>
        <v>100</v>
      </c>
    </row>
    <row r="40" spans="1:14">
      <c r="A40" s="38" t="s">
        <v>29</v>
      </c>
      <c r="B40" s="30" t="s">
        <v>83</v>
      </c>
      <c r="C40" s="31">
        <f>140+356</f>
        <v>496</v>
      </c>
      <c r="D40" s="32">
        <f>140+110</f>
        <v>250</v>
      </c>
      <c r="E40" s="32">
        <v>0</v>
      </c>
      <c r="F40" s="90"/>
      <c r="G40" s="90"/>
      <c r="H40" s="90">
        <v>0</v>
      </c>
      <c r="I40" s="90">
        <f>255</f>
        <v>255</v>
      </c>
      <c r="J40" s="90">
        <f>300+75+150</f>
        <v>525</v>
      </c>
      <c r="K40" s="90"/>
      <c r="L40" s="33">
        <f t="shared" si="5"/>
        <v>746</v>
      </c>
    </row>
    <row r="41" spans="1:14">
      <c r="A41" s="38" t="s">
        <v>25</v>
      </c>
      <c r="B41" s="30" t="s">
        <v>85</v>
      </c>
      <c r="C41" s="31">
        <v>4090.55</v>
      </c>
      <c r="D41" s="32">
        <v>0</v>
      </c>
      <c r="E41" s="32">
        <v>0</v>
      </c>
      <c r="F41" s="90"/>
      <c r="G41" s="90"/>
      <c r="H41" s="90">
        <v>0</v>
      </c>
      <c r="I41" s="90">
        <f>1250</f>
        <v>1250</v>
      </c>
      <c r="J41" s="90">
        <v>0</v>
      </c>
      <c r="K41" s="90"/>
      <c r="L41" s="33">
        <f t="shared" si="5"/>
        <v>4090.55</v>
      </c>
    </row>
    <row r="42" spans="1:14">
      <c r="A42" s="38" t="s">
        <v>26</v>
      </c>
      <c r="B42" s="39" t="s">
        <v>46</v>
      </c>
      <c r="C42" s="31">
        <v>0</v>
      </c>
      <c r="D42" s="32">
        <v>0</v>
      </c>
      <c r="E42" s="32">
        <v>0</v>
      </c>
      <c r="F42" s="90"/>
      <c r="G42" s="90"/>
      <c r="H42" s="90">
        <v>0</v>
      </c>
      <c r="I42" s="90">
        <v>0</v>
      </c>
      <c r="J42" s="90">
        <f>292.5+24.9</f>
        <v>317.39999999999998</v>
      </c>
      <c r="K42" s="90"/>
      <c r="L42" s="33">
        <f t="shared" si="5"/>
        <v>0</v>
      </c>
    </row>
    <row r="43" spans="1:14">
      <c r="A43" s="38" t="s">
        <v>27</v>
      </c>
      <c r="B43" s="30" t="s">
        <v>47</v>
      </c>
      <c r="C43" s="31">
        <v>0</v>
      </c>
      <c r="D43" s="32">
        <v>0</v>
      </c>
      <c r="E43" s="32">
        <v>0</v>
      </c>
      <c r="F43" s="90"/>
      <c r="G43" s="90"/>
      <c r="H43" s="90">
        <f>160.65</f>
        <v>160.65</v>
      </c>
      <c r="I43" s="90">
        <v>0</v>
      </c>
      <c r="J43" s="90">
        <v>0</v>
      </c>
      <c r="K43" s="90"/>
      <c r="L43" s="33">
        <f t="shared" si="5"/>
        <v>0</v>
      </c>
    </row>
    <row r="44" spans="1:14">
      <c r="A44" s="38" t="s">
        <v>30</v>
      </c>
      <c r="B44" s="30" t="s">
        <v>48</v>
      </c>
      <c r="C44" s="31">
        <f>200</f>
        <v>200</v>
      </c>
      <c r="D44" s="32">
        <v>200</v>
      </c>
      <c r="E44" s="32">
        <v>0</v>
      </c>
      <c r="F44" s="90"/>
      <c r="G44" s="90"/>
      <c r="H44" s="90">
        <f>135+200</f>
        <v>335</v>
      </c>
      <c r="I44" s="90">
        <f>200+80</f>
        <v>280</v>
      </c>
      <c r="J44" s="90">
        <f>172.16+200+85.5</f>
        <v>457.65999999999997</v>
      </c>
      <c r="K44" s="90"/>
      <c r="L44" s="33">
        <f t="shared" si="5"/>
        <v>400</v>
      </c>
    </row>
    <row r="45" spans="1:14">
      <c r="A45" s="38" t="s">
        <v>31</v>
      </c>
      <c r="B45" s="30" t="s">
        <v>49</v>
      </c>
      <c r="C45" s="31">
        <f>88</f>
        <v>88</v>
      </c>
      <c r="D45" s="32">
        <f>72+72</f>
        <v>144</v>
      </c>
      <c r="E45" s="32">
        <v>0</v>
      </c>
      <c r="F45" s="90"/>
      <c r="G45" s="90"/>
      <c r="H45" s="90">
        <f>84+84</f>
        <v>168</v>
      </c>
      <c r="I45" s="90">
        <v>76</v>
      </c>
      <c r="J45" s="90">
        <f>88+27.34</f>
        <v>115.34</v>
      </c>
      <c r="K45" s="90"/>
      <c r="L45" s="33">
        <f t="shared" si="5"/>
        <v>232</v>
      </c>
    </row>
    <row r="46" spans="1:14">
      <c r="A46" s="38" t="s">
        <v>32</v>
      </c>
      <c r="B46" s="30" t="s">
        <v>51</v>
      </c>
      <c r="C46" s="31">
        <f>100</f>
        <v>100</v>
      </c>
      <c r="D46" s="32">
        <f>100+100</f>
        <v>200</v>
      </c>
      <c r="E46" s="32">
        <v>0</v>
      </c>
      <c r="F46" s="90"/>
      <c r="G46" s="90"/>
      <c r="H46" s="90">
        <f>100+100</f>
        <v>200</v>
      </c>
      <c r="I46" s="90">
        <v>100</v>
      </c>
      <c r="J46" s="90">
        <f>100+100</f>
        <v>200</v>
      </c>
      <c r="K46" s="90"/>
      <c r="L46" s="33">
        <f t="shared" si="5"/>
        <v>300</v>
      </c>
      <c r="N46" s="68"/>
    </row>
    <row r="47" spans="1:14">
      <c r="A47" s="38" t="s">
        <v>33</v>
      </c>
      <c r="B47" s="30" t="s">
        <v>50</v>
      </c>
      <c r="C47" s="31">
        <f>751.58</f>
        <v>751.58</v>
      </c>
      <c r="D47" s="32">
        <f>950.29+2460.88</f>
        <v>3411.17</v>
      </c>
      <c r="E47" s="32">
        <v>0</v>
      </c>
      <c r="F47" s="32"/>
      <c r="G47" s="32"/>
      <c r="H47" s="32">
        <f>950.29+415.56+956.53+30+130+425.78</f>
        <v>2908.16</v>
      </c>
      <c r="I47" s="32">
        <f>950.29+876.64+46+202.84+383.3+1977.82+107+341.4+3175.04</f>
        <v>8060.33</v>
      </c>
      <c r="J47" s="32">
        <f>314.05+1571.21+950.29+96.76+334.99+73+684+100.02</f>
        <v>4124.3200000000006</v>
      </c>
      <c r="K47" s="90"/>
      <c r="L47" s="33">
        <f t="shared" si="5"/>
        <v>4162.75</v>
      </c>
    </row>
    <row r="48" spans="1:14">
      <c r="A48" s="38" t="s">
        <v>34</v>
      </c>
      <c r="B48" s="30" t="s">
        <v>86</v>
      </c>
      <c r="C48" s="31">
        <v>2100</v>
      </c>
      <c r="D48" s="32">
        <v>0</v>
      </c>
      <c r="E48" s="71">
        <v>0</v>
      </c>
      <c r="F48" s="71"/>
      <c r="G48" s="71"/>
      <c r="H48" s="71">
        <f>115+115+230+230+115+230+230+230+230+230</f>
        <v>1955</v>
      </c>
      <c r="I48" s="71">
        <f>115+345+359+115+115+115+115+460</f>
        <v>1739</v>
      </c>
      <c r="J48" s="71">
        <f>115+115+345+115+115</f>
        <v>805</v>
      </c>
      <c r="K48" s="91"/>
      <c r="L48" s="33">
        <f>SUM(C48:H48)</f>
        <v>4055</v>
      </c>
      <c r="M48" s="68"/>
    </row>
    <row r="49" spans="1:14">
      <c r="A49" s="38" t="s">
        <v>60</v>
      </c>
      <c r="B49" s="30" t="s">
        <v>110</v>
      </c>
      <c r="C49" s="31">
        <f>1180</f>
        <v>1180</v>
      </c>
      <c r="D49" s="32">
        <v>1174.97</v>
      </c>
      <c r="E49" s="32">
        <v>0</v>
      </c>
      <c r="F49" s="32"/>
      <c r="G49" s="32"/>
      <c r="H49" s="32">
        <f>1000</f>
        <v>1000</v>
      </c>
      <c r="I49" s="32">
        <v>1000</v>
      </c>
      <c r="J49" s="32">
        <f>1000</f>
        <v>1000</v>
      </c>
      <c r="K49" s="90"/>
      <c r="L49" s="33">
        <f t="shared" si="5"/>
        <v>2354.9700000000003</v>
      </c>
    </row>
    <row r="50" spans="1:14">
      <c r="A50" s="38" t="s">
        <v>61</v>
      </c>
      <c r="B50" s="30" t="s">
        <v>52</v>
      </c>
      <c r="C50" s="31">
        <v>585</v>
      </c>
      <c r="D50" s="32">
        <v>0</v>
      </c>
      <c r="E50" s="32">
        <v>0</v>
      </c>
      <c r="F50" s="32"/>
      <c r="G50" s="32"/>
      <c r="H50" s="32">
        <v>0</v>
      </c>
      <c r="I50" s="32">
        <v>0</v>
      </c>
      <c r="J50" s="32">
        <v>0</v>
      </c>
      <c r="K50" s="90"/>
      <c r="L50" s="33">
        <f>SUM(C50:J50)</f>
        <v>585</v>
      </c>
    </row>
    <row r="51" spans="1:14">
      <c r="A51" s="38" t="s">
        <v>62</v>
      </c>
      <c r="B51" s="30" t="s">
        <v>99</v>
      </c>
      <c r="C51" s="31">
        <v>0</v>
      </c>
      <c r="D51" s="32">
        <v>69</v>
      </c>
      <c r="E51" s="32">
        <v>0</v>
      </c>
      <c r="F51" s="32"/>
      <c r="G51" s="32"/>
      <c r="H51" s="32">
        <v>94</v>
      </c>
      <c r="I51" s="32">
        <f>69+69</f>
        <v>138</v>
      </c>
      <c r="J51" s="32">
        <f>69</f>
        <v>69</v>
      </c>
      <c r="K51" s="90"/>
      <c r="L51" s="33">
        <f>SUM(C51:H51)</f>
        <v>163</v>
      </c>
    </row>
    <row r="52" spans="1:14">
      <c r="A52" s="38" t="s">
        <v>63</v>
      </c>
      <c r="B52" s="30" t="s">
        <v>116</v>
      </c>
      <c r="C52" s="31">
        <v>200</v>
      </c>
      <c r="D52" s="32">
        <v>0</v>
      </c>
      <c r="E52" s="32">
        <v>0</v>
      </c>
      <c r="F52" s="32"/>
      <c r="G52" s="32"/>
      <c r="H52" s="32">
        <v>0</v>
      </c>
      <c r="I52" s="32">
        <v>0</v>
      </c>
      <c r="J52" s="32">
        <v>0</v>
      </c>
      <c r="K52" s="90"/>
      <c r="L52" s="33">
        <f>SUM(C52:J52)</f>
        <v>200</v>
      </c>
      <c r="N52" s="68"/>
    </row>
    <row r="53" spans="1:14">
      <c r="A53" s="38" t="s">
        <v>64</v>
      </c>
      <c r="B53" s="29" t="s">
        <v>102</v>
      </c>
      <c r="C53" s="31">
        <v>0</v>
      </c>
      <c r="D53" s="32">
        <v>0</v>
      </c>
      <c r="E53" s="32">
        <v>0</v>
      </c>
      <c r="F53" s="32"/>
      <c r="G53" s="32"/>
      <c r="H53" s="32">
        <v>0</v>
      </c>
      <c r="I53" s="32">
        <v>0</v>
      </c>
      <c r="J53" s="32">
        <v>0</v>
      </c>
      <c r="K53" s="90"/>
      <c r="L53" s="33">
        <f>SUM(C53:J53)</f>
        <v>0</v>
      </c>
    </row>
    <row r="54" spans="1:14">
      <c r="A54" s="38" t="s">
        <v>65</v>
      </c>
      <c r="B54" s="30" t="s">
        <v>103</v>
      </c>
      <c r="C54" s="31">
        <v>0</v>
      </c>
      <c r="D54" s="32">
        <v>0</v>
      </c>
      <c r="E54" s="32">
        <v>0</v>
      </c>
      <c r="F54" s="32"/>
      <c r="G54" s="32"/>
      <c r="H54" s="32">
        <v>0</v>
      </c>
      <c r="I54" s="32">
        <v>0</v>
      </c>
      <c r="J54" s="32">
        <v>0</v>
      </c>
      <c r="K54" s="90"/>
      <c r="L54" s="33">
        <f>SUM(C54:J54)</f>
        <v>0</v>
      </c>
      <c r="M54" s="68"/>
    </row>
    <row r="55" spans="1:14">
      <c r="A55" s="38" t="s">
        <v>66</v>
      </c>
      <c r="B55" s="30" t="s">
        <v>53</v>
      </c>
      <c r="C55" s="31">
        <v>0</v>
      </c>
      <c r="D55" s="32">
        <v>0</v>
      </c>
      <c r="E55" s="32">
        <v>0</v>
      </c>
      <c r="F55" s="32"/>
      <c r="G55" s="32"/>
      <c r="H55" s="32">
        <f>200</f>
        <v>200</v>
      </c>
      <c r="I55" s="32">
        <f>320+100</f>
        <v>420</v>
      </c>
      <c r="J55" s="32">
        <f>100</f>
        <v>100</v>
      </c>
      <c r="K55" s="90"/>
      <c r="L55" s="33">
        <f t="shared" si="5"/>
        <v>0</v>
      </c>
    </row>
    <row r="56" spans="1:14">
      <c r="A56" s="38" t="s">
        <v>67</v>
      </c>
      <c r="B56" s="50" t="s">
        <v>111</v>
      </c>
      <c r="C56" s="31">
        <v>0</v>
      </c>
      <c r="D56" s="32">
        <v>0</v>
      </c>
      <c r="E56" s="32">
        <v>0</v>
      </c>
      <c r="F56" s="32"/>
      <c r="G56" s="32"/>
      <c r="H56" s="32">
        <v>0</v>
      </c>
      <c r="I56" s="32">
        <v>0</v>
      </c>
      <c r="J56" s="32">
        <v>0</v>
      </c>
      <c r="K56" s="90"/>
      <c r="L56" s="33">
        <f>SUM(C56:J56)</f>
        <v>0</v>
      </c>
    </row>
    <row r="57" spans="1:14">
      <c r="A57" s="38" t="s">
        <v>72</v>
      </c>
      <c r="B57" s="29" t="s">
        <v>57</v>
      </c>
      <c r="C57" s="31">
        <v>81.150000000000006</v>
      </c>
      <c r="D57" s="32">
        <v>40.75</v>
      </c>
      <c r="E57" s="32">
        <v>0</v>
      </c>
      <c r="F57" s="32"/>
      <c r="G57" s="32"/>
      <c r="H57" s="32">
        <f>24.8+22.2+9</f>
        <v>56</v>
      </c>
      <c r="I57" s="32">
        <f>32.55+22.2+9+6</f>
        <v>69.75</v>
      </c>
      <c r="J57" s="32">
        <f>40.3+22.2+19.8</f>
        <v>82.3</v>
      </c>
      <c r="K57" s="90"/>
      <c r="L57" s="33">
        <f t="shared" si="5"/>
        <v>121.9</v>
      </c>
    </row>
    <row r="58" spans="1:14">
      <c r="A58" s="38" t="s">
        <v>73</v>
      </c>
      <c r="B58" s="30" t="s">
        <v>75</v>
      </c>
      <c r="C58" s="31">
        <v>75.8</v>
      </c>
      <c r="D58" s="32">
        <v>75.8</v>
      </c>
      <c r="E58" s="32">
        <v>0</v>
      </c>
      <c r="F58" s="32"/>
      <c r="G58" s="32"/>
      <c r="H58" s="32">
        <v>0</v>
      </c>
      <c r="I58" s="32">
        <v>0</v>
      </c>
      <c r="J58" s="32">
        <v>0</v>
      </c>
      <c r="K58" s="90"/>
      <c r="L58" s="33">
        <f>SUM(C58:J58)</f>
        <v>151.6</v>
      </c>
    </row>
    <row r="59" spans="1:14">
      <c r="A59" s="38" t="s">
        <v>74</v>
      </c>
      <c r="B59" s="30" t="s">
        <v>98</v>
      </c>
      <c r="C59" s="31">
        <v>872.55</v>
      </c>
      <c r="D59" s="32">
        <v>827.55</v>
      </c>
      <c r="E59" s="32">
        <v>0</v>
      </c>
      <c r="F59" s="32"/>
      <c r="G59" s="32"/>
      <c r="H59" s="32">
        <v>827.55</v>
      </c>
      <c r="I59" s="32">
        <f>827.55</f>
        <v>827.55</v>
      </c>
      <c r="J59" s="32">
        <v>827.55</v>
      </c>
      <c r="K59" s="90"/>
      <c r="L59" s="33">
        <f>SUM(C59:H59)</f>
        <v>2527.6499999999996</v>
      </c>
    </row>
    <row r="60" spans="1:14">
      <c r="A60" s="38" t="s">
        <v>81</v>
      </c>
      <c r="B60" s="30" t="s">
        <v>82</v>
      </c>
      <c r="C60" s="31">
        <f>271.71</f>
        <v>271.70999999999998</v>
      </c>
      <c r="D60" s="32">
        <f>201.88+91.49</f>
        <v>293.37</v>
      </c>
      <c r="E60" s="32">
        <v>0</v>
      </c>
      <c r="F60" s="32"/>
      <c r="G60" s="32"/>
      <c r="H60" s="32">
        <f>161.11+290.08+57.29</f>
        <v>508.48</v>
      </c>
      <c r="I60" s="32">
        <f>226.99+38.66</f>
        <v>265.64999999999998</v>
      </c>
      <c r="J60" s="32">
        <f>377.26+218.95+34.88</f>
        <v>631.09</v>
      </c>
      <c r="K60" s="90"/>
      <c r="L60" s="33">
        <f t="shared" si="5"/>
        <v>565.07999999999993</v>
      </c>
    </row>
    <row r="61" spans="1:14">
      <c r="A61" s="38" t="s">
        <v>112</v>
      </c>
      <c r="B61" s="30" t="s">
        <v>121</v>
      </c>
      <c r="C61" s="31">
        <v>0</v>
      </c>
      <c r="D61" s="32">
        <v>0</v>
      </c>
      <c r="E61" s="32"/>
      <c r="F61" s="32"/>
      <c r="G61" s="32"/>
      <c r="H61" s="32">
        <v>2109.62</v>
      </c>
      <c r="I61" s="32">
        <v>0</v>
      </c>
      <c r="J61" s="32">
        <v>0</v>
      </c>
      <c r="K61" s="90"/>
      <c r="L61" s="33"/>
    </row>
    <row r="62" spans="1:14" ht="16.5" thickBot="1">
      <c r="A62" s="99" t="s">
        <v>120</v>
      </c>
      <c r="B62" s="41" t="s">
        <v>113</v>
      </c>
      <c r="C62" s="40">
        <v>0</v>
      </c>
      <c r="D62" s="42">
        <v>0</v>
      </c>
      <c r="E62" s="42"/>
      <c r="F62" s="42"/>
      <c r="G62" s="42"/>
      <c r="H62" s="42">
        <v>0</v>
      </c>
      <c r="I62" s="42">
        <f>234</f>
        <v>234</v>
      </c>
      <c r="J62" s="42">
        <f>234+249.9+590+424</f>
        <v>1497.9</v>
      </c>
      <c r="K62" s="92"/>
      <c r="L62" s="44">
        <f>SUM(C62:G62)</f>
        <v>0</v>
      </c>
    </row>
    <row r="63" spans="1:14" ht="17.25" thickTop="1" thickBot="1">
      <c r="A63" s="189" t="s">
        <v>0</v>
      </c>
      <c r="B63" s="190"/>
      <c r="C63" s="61">
        <f>SUM(C35:C62)</f>
        <v>13066.479999999998</v>
      </c>
      <c r="D63" s="61">
        <f>SUM(D35:D62)</f>
        <v>13534.8</v>
      </c>
      <c r="E63" s="61">
        <f>SUM(E35:E60)</f>
        <v>0</v>
      </c>
      <c r="F63" s="96">
        <f>SUM(F35:F62)</f>
        <v>0</v>
      </c>
      <c r="G63" s="96">
        <f>SUM(G35:G62)</f>
        <v>0</v>
      </c>
      <c r="H63" s="96">
        <f>SUM(H34:H62)</f>
        <v>14437.689999999999</v>
      </c>
      <c r="I63" s="96">
        <f>SUM(I34:I62)</f>
        <v>19260.510000000002</v>
      </c>
      <c r="J63" s="96">
        <f>SUM(J34:J62)</f>
        <v>14667.789999999999</v>
      </c>
      <c r="K63" s="96"/>
      <c r="L63" s="62">
        <f>SUM(C63:H63)</f>
        <v>41038.97</v>
      </c>
    </row>
    <row r="64" spans="1:14" ht="17.25" thickTop="1" thickBot="1">
      <c r="A64" s="169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1"/>
    </row>
    <row r="65" spans="1:14" ht="19.899999999999999" customHeight="1" thickTop="1" thickBot="1">
      <c r="A65" s="176" t="s">
        <v>35</v>
      </c>
      <c r="B65" s="177"/>
      <c r="C65" s="51">
        <f>C29+C63</f>
        <v>17050.159999999996</v>
      </c>
      <c r="D65" s="51">
        <f>D29+D63</f>
        <v>17545.29</v>
      </c>
      <c r="E65" s="51">
        <f t="shared" ref="E65:J65" si="6">E29+E63</f>
        <v>0</v>
      </c>
      <c r="F65" s="51">
        <f t="shared" si="6"/>
        <v>0</v>
      </c>
      <c r="G65" s="51">
        <f t="shared" si="6"/>
        <v>0</v>
      </c>
      <c r="H65" s="51">
        <f t="shared" si="6"/>
        <v>19141.62</v>
      </c>
      <c r="I65" s="51">
        <f t="shared" si="6"/>
        <v>22423.280000000002</v>
      </c>
      <c r="J65" s="51">
        <f t="shared" si="6"/>
        <v>19050.87</v>
      </c>
      <c r="K65" s="51"/>
      <c r="L65" s="51">
        <f>L29+L63</f>
        <v>55867.92</v>
      </c>
      <c r="N65" s="68"/>
    </row>
    <row r="66" spans="1:14" ht="17.25" thickTop="1" thickBot="1">
      <c r="A66" s="173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5"/>
    </row>
    <row r="67" spans="1:14" ht="17.25" thickTop="1" thickBot="1">
      <c r="A67" s="178" t="s">
        <v>36</v>
      </c>
      <c r="B67" s="179"/>
      <c r="C67" s="52">
        <f>C14-C65</f>
        <v>8660.9099999999926</v>
      </c>
      <c r="D67" s="52">
        <f>D14-D65</f>
        <v>13938.239999999991</v>
      </c>
      <c r="E67" s="52">
        <f t="shared" ref="E67:J67" si="7">E14-E65</f>
        <v>0</v>
      </c>
      <c r="F67" s="52">
        <f t="shared" si="7"/>
        <v>0</v>
      </c>
      <c r="G67" s="52">
        <f t="shared" si="7"/>
        <v>0</v>
      </c>
      <c r="H67" s="52">
        <f t="shared" si="7"/>
        <v>15108.159999999993</v>
      </c>
      <c r="I67" s="52">
        <f t="shared" si="7"/>
        <v>13549.869999999992</v>
      </c>
      <c r="J67" s="52">
        <f t="shared" si="7"/>
        <v>16683.149999999998</v>
      </c>
      <c r="K67" s="52"/>
      <c r="L67" s="52"/>
    </row>
    <row r="68" spans="1:14" ht="16.5" thickTop="1">
      <c r="A68" s="20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4">
      <c r="A69" s="20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4" ht="18">
      <c r="A70" s="20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</row>
    <row r="71" spans="1:14">
      <c r="C71" s="43"/>
    </row>
    <row r="73" spans="1:14">
      <c r="A73" s="181" t="s">
        <v>105</v>
      </c>
      <c r="B73" s="181"/>
      <c r="C73" s="172" t="s">
        <v>106</v>
      </c>
      <c r="D73" s="172"/>
      <c r="E73" s="172"/>
      <c r="F73" s="172"/>
      <c r="G73" s="172"/>
      <c r="H73" s="172"/>
      <c r="I73" s="172"/>
      <c r="J73" s="172"/>
      <c r="K73" s="172"/>
      <c r="L73" s="172"/>
    </row>
    <row r="74" spans="1:14" ht="20.25">
      <c r="A74" s="182" t="s">
        <v>104</v>
      </c>
      <c r="B74" s="182"/>
      <c r="C74" s="83"/>
      <c r="D74" s="131" t="s">
        <v>69</v>
      </c>
      <c r="E74" s="130"/>
      <c r="F74" s="130"/>
      <c r="G74" s="130"/>
      <c r="H74" s="130"/>
      <c r="I74" s="130"/>
      <c r="J74" s="130"/>
      <c r="K74" s="130"/>
      <c r="L74" s="130"/>
    </row>
    <row r="75" spans="1:14" ht="20.25">
      <c r="A75" s="183" t="s">
        <v>107</v>
      </c>
      <c r="B75" s="183"/>
      <c r="C75" s="83"/>
      <c r="D75" s="132" t="s">
        <v>87</v>
      </c>
      <c r="E75" s="129"/>
      <c r="F75" s="129"/>
      <c r="G75" s="129"/>
      <c r="H75" s="129"/>
      <c r="I75" s="129"/>
      <c r="J75" s="129"/>
      <c r="K75" s="129"/>
      <c r="L75" s="129"/>
    </row>
  </sheetData>
  <mergeCells count="19">
    <mergeCell ref="A65:B65"/>
    <mergeCell ref="A1:L2"/>
    <mergeCell ref="A3:L3"/>
    <mergeCell ref="A4:L4"/>
    <mergeCell ref="A14:B14"/>
    <mergeCell ref="A16:L16"/>
    <mergeCell ref="A17:L17"/>
    <mergeCell ref="A18:L18"/>
    <mergeCell ref="A29:B29"/>
    <mergeCell ref="A31:L31"/>
    <mergeCell ref="A63:B63"/>
    <mergeCell ref="A64:L64"/>
    <mergeCell ref="A75:B75"/>
    <mergeCell ref="A66:L66"/>
    <mergeCell ref="A67:B67"/>
    <mergeCell ref="B70:L70"/>
    <mergeCell ref="A73:B73"/>
    <mergeCell ref="C73:L73"/>
    <mergeCell ref="A74:B74"/>
  </mergeCells>
  <pageMargins left="0.51181102362204722" right="0.31496062992125984" top="0.78740157480314965" bottom="0.78740157480314965" header="0.31496062992125984" footer="0.31496062992125984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2"/>
  <sheetViews>
    <sheetView workbookViewId="0">
      <selection activeCell="A4" sqref="A4:L4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1.125" style="1" bestFit="1" customWidth="1"/>
  </cols>
  <sheetData>
    <row r="1" spans="1:12" ht="16.5" thickTop="1">
      <c r="A1" s="163" t="s">
        <v>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6.5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7.25" thickTop="1" thickBo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7.25" thickTop="1" thickBot="1">
      <c r="A4" s="176" t="s">
        <v>12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77"/>
    </row>
    <row r="5" spans="1:12" ht="17.25" thickTop="1" thickBot="1">
      <c r="A5" s="75" t="s">
        <v>13</v>
      </c>
      <c r="B5" s="18" t="s">
        <v>14</v>
      </c>
      <c r="C5" s="125">
        <v>41091</v>
      </c>
      <c r="D5" s="125">
        <v>41122</v>
      </c>
      <c r="E5" s="73" t="s">
        <v>93</v>
      </c>
      <c r="F5" s="73" t="s">
        <v>108</v>
      </c>
      <c r="G5" s="73" t="s">
        <v>109</v>
      </c>
      <c r="H5" s="125">
        <v>41153</v>
      </c>
      <c r="I5" s="125">
        <v>41183</v>
      </c>
      <c r="J5" s="125">
        <v>41214</v>
      </c>
      <c r="K5" s="125">
        <v>41244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f>'Balancete-demonstrativo'!G66</f>
        <v>8159.8499999999876</v>
      </c>
      <c r="D6" s="57">
        <v>9080.51</v>
      </c>
      <c r="E6" s="57">
        <v>0</v>
      </c>
      <c r="F6" s="86"/>
      <c r="G6" s="86"/>
      <c r="H6" s="86">
        <f>D65</f>
        <v>8562.57</v>
      </c>
      <c r="I6" s="86">
        <f>H65</f>
        <v>14061.160000000003</v>
      </c>
      <c r="J6" s="86">
        <f>I65</f>
        <v>11029.400000000001</v>
      </c>
      <c r="K6" s="86">
        <v>11049.68</v>
      </c>
      <c r="L6" s="58"/>
    </row>
    <row r="7" spans="1:12">
      <c r="A7" s="64">
        <v>2</v>
      </c>
      <c r="B7" s="53" t="s">
        <v>39</v>
      </c>
      <c r="C7" s="54">
        <f>18352.54+1785.97</f>
        <v>20138.510000000002</v>
      </c>
      <c r="D7" s="54">
        <f>1785.97+18421.81</f>
        <v>20207.780000000002</v>
      </c>
      <c r="E7" s="54"/>
      <c r="F7" s="87"/>
      <c r="G7" s="87"/>
      <c r="H7" s="87">
        <f>1785.97+18502.39</f>
        <v>20288.36</v>
      </c>
      <c r="I7" s="87">
        <f>1785.97+18708.62</f>
        <v>20494.59</v>
      </c>
      <c r="J7" s="87">
        <f>1935.4+20162.88</f>
        <v>22098.280000000002</v>
      </c>
      <c r="K7" s="87">
        <f>1915.78+20356.46+1866.07+20304.31</f>
        <v>44442.619999999995</v>
      </c>
      <c r="L7" s="55">
        <f>SUM(C7:K7)</f>
        <v>147670.14000000001</v>
      </c>
    </row>
    <row r="8" spans="1:12">
      <c r="A8" s="65">
        <v>3</v>
      </c>
      <c r="B8" s="28" t="s">
        <v>38</v>
      </c>
      <c r="C8" s="45">
        <v>1080.98</v>
      </c>
      <c r="D8" s="45">
        <f>491.93+491.93</f>
        <v>983.86</v>
      </c>
      <c r="E8" s="45"/>
      <c r="F8" s="87"/>
      <c r="G8" s="87"/>
      <c r="H8" s="87">
        <v>0</v>
      </c>
      <c r="I8" s="87">
        <v>0</v>
      </c>
      <c r="J8" s="87">
        <v>0</v>
      </c>
      <c r="K8" s="87">
        <v>0</v>
      </c>
      <c r="L8" s="55">
        <f t="shared" ref="L8:L13" si="0">SUM(C8:K8)</f>
        <v>2064.84</v>
      </c>
    </row>
    <row r="9" spans="1:12">
      <c r="A9" s="65">
        <v>4</v>
      </c>
      <c r="B9" s="29" t="s">
        <v>100</v>
      </c>
      <c r="C9" s="70">
        <f>90+528.09+2051.19</f>
        <v>2669.28</v>
      </c>
      <c r="D9" s="45">
        <f>319.46+5</f>
        <v>324.45999999999998</v>
      </c>
      <c r="E9" s="45"/>
      <c r="F9" s="87"/>
      <c r="G9" s="87"/>
      <c r="H9" s="87">
        <f>213.16+290.97+1080.98+930+600.61+600.61+600.61+104+40</f>
        <v>4460.9400000000005</v>
      </c>
      <c r="I9" s="87">
        <f>104</f>
        <v>104</v>
      </c>
      <c r="J9" s="87">
        <f>104</f>
        <v>104</v>
      </c>
      <c r="K9" s="87">
        <f>104</f>
        <v>104</v>
      </c>
      <c r="L9" s="55">
        <f t="shared" si="0"/>
        <v>7766.68</v>
      </c>
    </row>
    <row r="10" spans="1:12">
      <c r="A10" s="65">
        <v>5</v>
      </c>
      <c r="B10" s="29" t="s">
        <v>79</v>
      </c>
      <c r="C10" s="45">
        <v>0</v>
      </c>
      <c r="D10" s="45">
        <v>0</v>
      </c>
      <c r="E10" s="45"/>
      <c r="F10" s="87"/>
      <c r="G10" s="87"/>
      <c r="H10" s="87">
        <v>0</v>
      </c>
      <c r="I10" s="87">
        <v>0</v>
      </c>
      <c r="J10" s="87">
        <v>0</v>
      </c>
      <c r="K10" s="87">
        <v>0</v>
      </c>
      <c r="L10" s="55">
        <f t="shared" si="0"/>
        <v>0</v>
      </c>
    </row>
    <row r="11" spans="1:12">
      <c r="A11" s="65">
        <v>6</v>
      </c>
      <c r="B11" s="29" t="s">
        <v>8</v>
      </c>
      <c r="C11" s="45">
        <v>0</v>
      </c>
      <c r="D11" s="45">
        <v>0</v>
      </c>
      <c r="E11" s="45"/>
      <c r="F11" s="87"/>
      <c r="G11" s="87"/>
      <c r="H11" s="87">
        <v>0</v>
      </c>
      <c r="I11" s="87">
        <v>0</v>
      </c>
      <c r="J11" s="87">
        <v>0</v>
      </c>
      <c r="K11" s="87">
        <v>0</v>
      </c>
      <c r="L11" s="55">
        <f t="shared" si="0"/>
        <v>0</v>
      </c>
    </row>
    <row r="12" spans="1:12">
      <c r="A12" s="65">
        <v>7</v>
      </c>
      <c r="B12" s="29" t="s">
        <v>76</v>
      </c>
      <c r="C12" s="45">
        <v>0</v>
      </c>
      <c r="D12" s="45">
        <v>0</v>
      </c>
      <c r="E12" s="45"/>
      <c r="F12" s="87"/>
      <c r="G12" s="87"/>
      <c r="H12" s="87">
        <v>0</v>
      </c>
      <c r="I12" s="87">
        <v>0</v>
      </c>
      <c r="J12" s="87">
        <v>0</v>
      </c>
      <c r="K12" s="87">
        <v>0</v>
      </c>
      <c r="L12" s="55">
        <f t="shared" si="0"/>
        <v>0</v>
      </c>
    </row>
    <row r="13" spans="1:12">
      <c r="A13" s="106">
        <v>8</v>
      </c>
      <c r="B13" s="107" t="s">
        <v>78</v>
      </c>
      <c r="C13" s="108">
        <v>0</v>
      </c>
      <c r="D13" s="108">
        <v>0</v>
      </c>
      <c r="E13" s="108"/>
      <c r="F13" s="88"/>
      <c r="G13" s="88"/>
      <c r="H13" s="88">
        <v>0</v>
      </c>
      <c r="I13" s="88">
        <v>0</v>
      </c>
      <c r="J13" s="88">
        <v>0</v>
      </c>
      <c r="K13" s="88">
        <v>0</v>
      </c>
      <c r="L13" s="55">
        <f t="shared" si="0"/>
        <v>0</v>
      </c>
    </row>
    <row r="14" spans="1:12" ht="16.5" thickBot="1">
      <c r="A14" s="167" t="s">
        <v>0</v>
      </c>
      <c r="B14" s="168"/>
      <c r="C14" s="114">
        <f t="shared" ref="C14:J14" si="1">SUM(C6:C13)</f>
        <v>32048.619999999988</v>
      </c>
      <c r="D14" s="114">
        <f t="shared" si="1"/>
        <v>30596.61</v>
      </c>
      <c r="E14" s="114">
        <f t="shared" si="1"/>
        <v>0</v>
      </c>
      <c r="F14" s="115">
        <f t="shared" si="1"/>
        <v>0</v>
      </c>
      <c r="G14" s="115">
        <f t="shared" si="1"/>
        <v>0</v>
      </c>
      <c r="H14" s="115">
        <f t="shared" si="1"/>
        <v>33311.870000000003</v>
      </c>
      <c r="I14" s="115">
        <f t="shared" si="1"/>
        <v>34659.75</v>
      </c>
      <c r="J14" s="115">
        <f t="shared" si="1"/>
        <v>33231.680000000008</v>
      </c>
      <c r="K14" s="115">
        <f>SUM(K6:K13)</f>
        <v>55596.299999999996</v>
      </c>
      <c r="L14" s="116">
        <f>SUM(L7:L13)</f>
        <v>157501.66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76" t="s">
        <v>118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77"/>
    </row>
    <row r="17" spans="1:14" ht="17.25" thickTop="1" thickBo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1"/>
    </row>
    <row r="18" spans="1:14" ht="19.899999999999999" customHeight="1" thickTop="1" thickBot="1">
      <c r="A18" s="176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77"/>
    </row>
    <row r="19" spans="1:14" ht="31.5" thickTop="1" thickBot="1">
      <c r="A19" s="76" t="s">
        <v>13</v>
      </c>
      <c r="B19" s="19" t="s">
        <v>14</v>
      </c>
      <c r="C19" s="125">
        <f>C5</f>
        <v>41091</v>
      </c>
      <c r="D19" s="125">
        <f t="shared" ref="D19:K19" si="2">D5</f>
        <v>41122</v>
      </c>
      <c r="E19" s="125" t="str">
        <f t="shared" si="2"/>
        <v>SETEBRO</v>
      </c>
      <c r="F19" s="125" t="str">
        <f t="shared" si="2"/>
        <v>Novembro</v>
      </c>
      <c r="G19" s="125" t="str">
        <f t="shared" si="2"/>
        <v>Dezembro</v>
      </c>
      <c r="H19" s="125">
        <f t="shared" si="2"/>
        <v>41153</v>
      </c>
      <c r="I19" s="125">
        <f t="shared" si="2"/>
        <v>41183</v>
      </c>
      <c r="J19" s="125">
        <f t="shared" si="2"/>
        <v>41214</v>
      </c>
      <c r="K19" s="125">
        <f t="shared" si="2"/>
        <v>41244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/>
      <c r="D21" s="32">
        <f>1162.68+1182.7</f>
        <v>2345.38</v>
      </c>
      <c r="E21" s="32"/>
      <c r="F21" s="90"/>
      <c r="G21" s="90"/>
      <c r="H21" s="90">
        <f>1108.36+500</f>
        <v>1608.36</v>
      </c>
      <c r="I21" s="90">
        <f>654.5+1108.36</f>
        <v>1762.86</v>
      </c>
      <c r="J21" s="90">
        <f>737+1108.36</f>
        <v>1845.36</v>
      </c>
      <c r="K21" s="90">
        <f>933.65+1458.36+294</f>
        <v>2686.0099999999998</v>
      </c>
      <c r="L21" s="33">
        <f>SUM(C21:K21)</f>
        <v>10247.969999999999</v>
      </c>
    </row>
    <row r="22" spans="1:14">
      <c r="A22" s="66" t="s">
        <v>19</v>
      </c>
      <c r="B22" s="30" t="s">
        <v>21</v>
      </c>
      <c r="C22" s="31"/>
      <c r="D22" s="32">
        <v>554.1</v>
      </c>
      <c r="E22" s="32"/>
      <c r="F22" s="90"/>
      <c r="G22" s="90"/>
      <c r="H22" s="90">
        <v>282.49</v>
      </c>
      <c r="I22" s="90">
        <v>283.39999999999998</v>
      </c>
      <c r="J22" s="90">
        <v>284.31</v>
      </c>
      <c r="K22" s="90">
        <f>206.5+275.23</f>
        <v>481.73</v>
      </c>
      <c r="L22" s="33">
        <f t="shared" ref="L22:L27" si="3">SUM(C22:K22)</f>
        <v>1886.03</v>
      </c>
    </row>
    <row r="23" spans="1:14">
      <c r="A23" s="66" t="s">
        <v>20</v>
      </c>
      <c r="B23" s="30" t="s">
        <v>23</v>
      </c>
      <c r="C23" s="31"/>
      <c r="D23" s="32">
        <v>157.5</v>
      </c>
      <c r="E23" s="32"/>
      <c r="F23" s="90"/>
      <c r="G23" s="90"/>
      <c r="H23" s="90">
        <v>78.739999999999995</v>
      </c>
      <c r="I23" s="90">
        <v>0</v>
      </c>
      <c r="J23" s="90">
        <f>82.85+78.74</f>
        <v>161.58999999999997</v>
      </c>
      <c r="K23" s="90">
        <v>137.82</v>
      </c>
      <c r="L23" s="33">
        <f t="shared" si="3"/>
        <v>535.65</v>
      </c>
    </row>
    <row r="24" spans="1:14">
      <c r="A24" s="66" t="s">
        <v>22</v>
      </c>
      <c r="B24" s="30" t="s">
        <v>41</v>
      </c>
      <c r="C24" s="31"/>
      <c r="D24" s="32">
        <v>300</v>
      </c>
      <c r="E24" s="71"/>
      <c r="F24" s="91"/>
      <c r="G24" s="91"/>
      <c r="H24" s="91">
        <v>1200</v>
      </c>
      <c r="I24" s="91">
        <v>300</v>
      </c>
      <c r="J24" s="91">
        <v>300</v>
      </c>
      <c r="K24" s="91">
        <v>300</v>
      </c>
      <c r="L24" s="33">
        <f t="shared" si="3"/>
        <v>2400</v>
      </c>
    </row>
    <row r="25" spans="1:14">
      <c r="A25" s="66" t="s">
        <v>24</v>
      </c>
      <c r="B25" s="30" t="s">
        <v>43</v>
      </c>
      <c r="C25" s="31"/>
      <c r="D25" s="32">
        <v>1500</v>
      </c>
      <c r="E25" s="32"/>
      <c r="F25" s="90"/>
      <c r="G25" s="90"/>
      <c r="H25" s="90">
        <v>1500</v>
      </c>
      <c r="I25" s="90">
        <v>1500</v>
      </c>
      <c r="J25" s="90">
        <v>1500</v>
      </c>
      <c r="K25" s="90">
        <v>1500</v>
      </c>
      <c r="L25" s="33">
        <f t="shared" si="3"/>
        <v>7500</v>
      </c>
    </row>
    <row r="26" spans="1:14">
      <c r="A26" s="66" t="s">
        <v>29</v>
      </c>
      <c r="B26" s="118" t="s">
        <v>97</v>
      </c>
      <c r="C26" s="119"/>
      <c r="D26" s="120">
        <v>0</v>
      </c>
      <c r="E26" s="120"/>
      <c r="F26" s="121"/>
      <c r="G26" s="121"/>
      <c r="H26" s="121">
        <v>0</v>
      </c>
      <c r="I26" s="121">
        <v>0</v>
      </c>
      <c r="J26" s="121">
        <v>0</v>
      </c>
      <c r="K26" s="121">
        <v>0</v>
      </c>
      <c r="L26" s="33">
        <f t="shared" si="3"/>
        <v>0</v>
      </c>
    </row>
    <row r="27" spans="1:14" ht="16.5" thickBot="1">
      <c r="A27" s="67"/>
      <c r="B27" s="41"/>
      <c r="C27" s="40"/>
      <c r="D27" s="42"/>
      <c r="E27" s="42">
        <v>0</v>
      </c>
      <c r="F27" s="92"/>
      <c r="G27" s="92"/>
      <c r="H27" s="92"/>
      <c r="I27" s="92"/>
      <c r="J27" s="92"/>
      <c r="K27" s="92"/>
      <c r="L27" s="33">
        <f t="shared" si="3"/>
        <v>0</v>
      </c>
    </row>
    <row r="28" spans="1:14" ht="17.25" thickTop="1" thickBot="1">
      <c r="A28" s="187" t="s">
        <v>15</v>
      </c>
      <c r="B28" s="188"/>
      <c r="C28" s="59">
        <f>SUM(C21:C27)</f>
        <v>0</v>
      </c>
      <c r="D28" s="59">
        <f>SUM(D21:D27)</f>
        <v>4856.9799999999996</v>
      </c>
      <c r="E28" s="59">
        <f>SUM(E21:E27)</f>
        <v>0</v>
      </c>
      <c r="F28" s="93">
        <f>SUM(F21:F26)</f>
        <v>0</v>
      </c>
      <c r="G28" s="93">
        <f t="shared" ref="G28:K28" si="4">SUM(G21:G27)</f>
        <v>0</v>
      </c>
      <c r="H28" s="93">
        <f t="shared" si="4"/>
        <v>4669.59</v>
      </c>
      <c r="I28" s="93">
        <f t="shared" si="4"/>
        <v>3846.2599999999998</v>
      </c>
      <c r="J28" s="93">
        <f t="shared" si="4"/>
        <v>4091.26</v>
      </c>
      <c r="K28" s="93">
        <f t="shared" si="4"/>
        <v>5105.5599999999995</v>
      </c>
      <c r="L28" s="60">
        <f>SUM(L21:L27)</f>
        <v>22569.65</v>
      </c>
      <c r="N28" s="82"/>
    </row>
    <row r="29" spans="1:14" ht="17.25" thickTop="1" thickBot="1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4" ht="19.899999999999999" customHeight="1" thickTop="1" thickBot="1">
      <c r="A30" s="184" t="s">
        <v>28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6"/>
    </row>
    <row r="31" spans="1:14" ht="17.25" thickTop="1" thickBo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</row>
    <row r="32" spans="1:14" ht="17.25" thickTop="1" thickBot="1">
      <c r="A32" s="77" t="s">
        <v>13</v>
      </c>
      <c r="B32" s="78" t="s">
        <v>14</v>
      </c>
      <c r="C32" s="125">
        <v>41091</v>
      </c>
      <c r="D32" s="125">
        <v>41122</v>
      </c>
      <c r="E32" s="73" t="str">
        <f>E5</f>
        <v>SETEBRO</v>
      </c>
      <c r="F32" s="94" t="s">
        <v>108</v>
      </c>
      <c r="G32" s="94" t="s">
        <v>109</v>
      </c>
      <c r="H32" s="128">
        <f>H19</f>
        <v>41153</v>
      </c>
      <c r="I32" s="128">
        <f t="shared" ref="I32:J32" si="5">I19</f>
        <v>41183</v>
      </c>
      <c r="J32" s="128">
        <f t="shared" si="5"/>
        <v>41214</v>
      </c>
      <c r="K32" s="128">
        <v>41244</v>
      </c>
      <c r="L32" s="79" t="s">
        <v>15</v>
      </c>
    </row>
    <row r="33" spans="1:14" ht="16.5" thickTop="1">
      <c r="A33" s="46"/>
      <c r="B33" s="47"/>
      <c r="C33" s="48"/>
      <c r="D33" s="47"/>
      <c r="E33" s="47"/>
      <c r="F33" s="95"/>
      <c r="G33" s="95"/>
      <c r="H33" s="95"/>
      <c r="I33" s="95"/>
      <c r="J33" s="95"/>
      <c r="K33" s="95"/>
      <c r="L33" s="49"/>
    </row>
    <row r="34" spans="1:14">
      <c r="A34" s="38" t="s">
        <v>18</v>
      </c>
      <c r="B34" s="30" t="s">
        <v>44</v>
      </c>
      <c r="C34" s="31"/>
      <c r="D34" s="32">
        <f>1874.14+74.97+101.5+528.95+512.41</f>
        <v>3091.9700000000003</v>
      </c>
      <c r="E34" s="32"/>
      <c r="F34" s="90"/>
      <c r="G34" s="90"/>
      <c r="H34" s="90">
        <f>1874.14+101.5+74.97+528.95</f>
        <v>2579.5600000000004</v>
      </c>
      <c r="I34" s="90">
        <f>1874.14+101.5+74.97+528.95</f>
        <v>2579.5600000000004</v>
      </c>
      <c r="J34" s="90">
        <f>1874.14+101.5+74.97+528.95</f>
        <v>2579.5600000000004</v>
      </c>
      <c r="K34" s="90">
        <f>1874.14+101.5+74.94+528.95</f>
        <v>2579.5299999999997</v>
      </c>
      <c r="L34" s="33">
        <f>SUM(C34:K34)</f>
        <v>13410.18</v>
      </c>
    </row>
    <row r="35" spans="1:14">
      <c r="A35" s="38" t="s">
        <v>19</v>
      </c>
      <c r="B35" s="30" t="s">
        <v>117</v>
      </c>
      <c r="C35" s="31"/>
      <c r="D35" s="32">
        <v>0</v>
      </c>
      <c r="E35" s="32"/>
      <c r="F35" s="90"/>
      <c r="G35" s="90"/>
      <c r="H35" s="90">
        <v>0</v>
      </c>
      <c r="I35" s="90">
        <v>0</v>
      </c>
      <c r="J35" s="90">
        <v>0</v>
      </c>
      <c r="K35" s="90">
        <v>0</v>
      </c>
      <c r="L35" s="33">
        <f t="shared" ref="L35:L60" si="6">SUM(C35:K35)</f>
        <v>0</v>
      </c>
    </row>
    <row r="36" spans="1:14">
      <c r="A36" s="38" t="s">
        <v>20</v>
      </c>
      <c r="B36" s="30" t="s">
        <v>122</v>
      </c>
      <c r="C36" s="31"/>
      <c r="D36" s="32">
        <f>90+109.62</f>
        <v>199.62</v>
      </c>
      <c r="E36" s="32"/>
      <c r="F36" s="90"/>
      <c r="G36" s="90"/>
      <c r="H36" s="90">
        <v>0</v>
      </c>
      <c r="I36" s="90">
        <v>2300</v>
      </c>
      <c r="J36" s="90">
        <v>0</v>
      </c>
      <c r="K36" s="90">
        <f>3262.94+1277.92</f>
        <v>4540.8600000000006</v>
      </c>
      <c r="L36" s="33">
        <f t="shared" si="6"/>
        <v>7040.4800000000005</v>
      </c>
    </row>
    <row r="37" spans="1:14">
      <c r="A37" s="38" t="s">
        <v>22</v>
      </c>
      <c r="B37" s="30" t="s">
        <v>84</v>
      </c>
      <c r="C37" s="31"/>
      <c r="D37" s="32">
        <v>0</v>
      </c>
      <c r="E37" s="32"/>
      <c r="F37" s="90"/>
      <c r="G37" s="90"/>
      <c r="H37" s="90">
        <v>0</v>
      </c>
      <c r="I37" s="90">
        <v>0</v>
      </c>
      <c r="J37" s="90">
        <v>0</v>
      </c>
      <c r="K37" s="90">
        <v>0</v>
      </c>
      <c r="L37" s="33">
        <f t="shared" si="6"/>
        <v>0</v>
      </c>
    </row>
    <row r="38" spans="1:14">
      <c r="A38" s="38" t="s">
        <v>24</v>
      </c>
      <c r="B38" s="30" t="s">
        <v>101</v>
      </c>
      <c r="C38" s="31"/>
      <c r="D38" s="32">
        <v>0</v>
      </c>
      <c r="E38" s="32"/>
      <c r="F38" s="90"/>
      <c r="G38" s="90"/>
      <c r="H38" s="90">
        <v>0</v>
      </c>
      <c r="I38" s="90">
        <f>1000+177.43+140+101.04+500+288.3+110</f>
        <v>2316.77</v>
      </c>
      <c r="J38" s="90">
        <f>550+100+100+500</f>
        <v>1250</v>
      </c>
      <c r="K38" s="90">
        <f>100+120</f>
        <v>220</v>
      </c>
      <c r="L38" s="33">
        <f t="shared" si="6"/>
        <v>3786.77</v>
      </c>
    </row>
    <row r="39" spans="1:14">
      <c r="A39" s="38" t="s">
        <v>29</v>
      </c>
      <c r="B39" s="30" t="s">
        <v>83</v>
      </c>
      <c r="C39" s="31"/>
      <c r="D39" s="32">
        <v>0</v>
      </c>
      <c r="E39" s="32"/>
      <c r="F39" s="90"/>
      <c r="G39" s="90"/>
      <c r="H39" s="90">
        <v>0</v>
      </c>
      <c r="I39" s="90">
        <f>180+165+720</f>
        <v>1065</v>
      </c>
      <c r="J39" s="90">
        <v>0</v>
      </c>
      <c r="K39" s="90">
        <f>630</f>
        <v>630</v>
      </c>
      <c r="L39" s="33">
        <f t="shared" si="6"/>
        <v>1695</v>
      </c>
    </row>
    <row r="40" spans="1:14">
      <c r="A40" s="38" t="s">
        <v>25</v>
      </c>
      <c r="B40" s="30" t="s">
        <v>85</v>
      </c>
      <c r="C40" s="31"/>
      <c r="D40" s="32">
        <v>0</v>
      </c>
      <c r="E40" s="32"/>
      <c r="F40" s="90"/>
      <c r="G40" s="90"/>
      <c r="H40" s="90">
        <v>0</v>
      </c>
      <c r="I40" s="90">
        <v>0</v>
      </c>
      <c r="J40" s="90">
        <f>500</f>
        <v>500</v>
      </c>
      <c r="K40" s="90">
        <v>0</v>
      </c>
      <c r="L40" s="33">
        <f t="shared" si="6"/>
        <v>500</v>
      </c>
    </row>
    <row r="41" spans="1:14">
      <c r="A41" s="38" t="s">
        <v>26</v>
      </c>
      <c r="B41" s="39" t="s">
        <v>46</v>
      </c>
      <c r="C41" s="31"/>
      <c r="D41" s="32">
        <v>0</v>
      </c>
      <c r="E41" s="32"/>
      <c r="F41" s="90"/>
      <c r="G41" s="90"/>
      <c r="H41" s="90">
        <v>0</v>
      </c>
      <c r="I41" s="90">
        <v>0</v>
      </c>
      <c r="J41" s="90">
        <v>0</v>
      </c>
      <c r="K41" s="90">
        <v>0</v>
      </c>
      <c r="L41" s="33">
        <f t="shared" si="6"/>
        <v>0</v>
      </c>
    </row>
    <row r="42" spans="1:14">
      <c r="A42" s="38" t="s">
        <v>27</v>
      </c>
      <c r="B42" s="30" t="s">
        <v>47</v>
      </c>
      <c r="C42" s="31"/>
      <c r="D42" s="32">
        <v>0</v>
      </c>
      <c r="E42" s="32"/>
      <c r="F42" s="90"/>
      <c r="G42" s="90"/>
      <c r="H42" s="90">
        <v>0</v>
      </c>
      <c r="I42" s="90">
        <v>0</v>
      </c>
      <c r="J42" s="90">
        <v>0</v>
      </c>
      <c r="K42" s="90">
        <f>228.97</f>
        <v>228.97</v>
      </c>
      <c r="L42" s="33">
        <f t="shared" si="6"/>
        <v>228.97</v>
      </c>
    </row>
    <row r="43" spans="1:14">
      <c r="A43" s="38" t="s">
        <v>30</v>
      </c>
      <c r="B43" s="30" t="s">
        <v>48</v>
      </c>
      <c r="C43" s="31"/>
      <c r="D43" s="32">
        <f>300</f>
        <v>300</v>
      </c>
      <c r="E43" s="32"/>
      <c r="F43" s="90"/>
      <c r="G43" s="90"/>
      <c r="H43" s="90">
        <v>350</v>
      </c>
      <c r="I43" s="90">
        <f>350+40</f>
        <v>390</v>
      </c>
      <c r="J43" s="90">
        <f>650</f>
        <v>650</v>
      </c>
      <c r="K43" s="90">
        <v>300</v>
      </c>
      <c r="L43" s="33">
        <f t="shared" si="6"/>
        <v>1990</v>
      </c>
    </row>
    <row r="44" spans="1:14">
      <c r="A44" s="38" t="s">
        <v>31</v>
      </c>
      <c r="B44" s="30" t="s">
        <v>49</v>
      </c>
      <c r="C44" s="31"/>
      <c r="D44" s="32">
        <v>0</v>
      </c>
      <c r="E44" s="32"/>
      <c r="F44" s="90"/>
      <c r="G44" s="90"/>
      <c r="H44" s="90">
        <v>0</v>
      </c>
      <c r="I44" s="90">
        <v>0</v>
      </c>
      <c r="J44" s="90">
        <v>0</v>
      </c>
      <c r="K44" s="90">
        <v>0</v>
      </c>
      <c r="L44" s="33">
        <f t="shared" si="6"/>
        <v>0</v>
      </c>
    </row>
    <row r="45" spans="1:14">
      <c r="A45" s="38" t="s">
        <v>32</v>
      </c>
      <c r="B45" s="30" t="s">
        <v>51</v>
      </c>
      <c r="C45" s="31"/>
      <c r="D45" s="32">
        <v>0</v>
      </c>
      <c r="E45" s="32"/>
      <c r="F45" s="90"/>
      <c r="G45" s="90"/>
      <c r="H45" s="90">
        <v>0</v>
      </c>
      <c r="I45" s="90">
        <v>0</v>
      </c>
      <c r="J45" s="90">
        <v>0</v>
      </c>
      <c r="K45" s="90">
        <v>0</v>
      </c>
      <c r="L45" s="33">
        <f t="shared" si="6"/>
        <v>0</v>
      </c>
      <c r="N45" s="68"/>
    </row>
    <row r="46" spans="1:14">
      <c r="A46" s="38" t="s">
        <v>33</v>
      </c>
      <c r="B46" s="30" t="s">
        <v>50</v>
      </c>
      <c r="C46" s="31"/>
      <c r="D46" s="32">
        <f>950.3+1010.56+2726.38+3210.34+262.39+255.24</f>
        <v>8415.2100000000009</v>
      </c>
      <c r="E46" s="32"/>
      <c r="F46" s="32"/>
      <c r="G46" s="32"/>
      <c r="H46" s="32">
        <f>950.3+2052.78+445.52+741.91+194+458.7+688+254.42</f>
        <v>5785.63</v>
      </c>
      <c r="I46" s="32">
        <f>950.3+2677.66+595+4.2+641.11</f>
        <v>4868.2699999999995</v>
      </c>
      <c r="J46" s="32">
        <f>950.3+2789.04+713.32+1024.01+665.15+2525.36+261.4+259.57+174.89</f>
        <v>9363.0399999999991</v>
      </c>
      <c r="K46" s="90">
        <f>1000+2644.49+853.66+381.07+901.04+166.87+275+110.87+877+440.32+300.38</f>
        <v>7950.6999999999989</v>
      </c>
      <c r="L46" s="33">
        <f t="shared" si="6"/>
        <v>36382.85</v>
      </c>
    </row>
    <row r="47" spans="1:14">
      <c r="A47" s="38" t="s">
        <v>34</v>
      </c>
      <c r="B47" s="30" t="s">
        <v>86</v>
      </c>
      <c r="C47" s="31"/>
      <c r="D47" s="32">
        <f>230+70</f>
        <v>300</v>
      </c>
      <c r="E47" s="71"/>
      <c r="F47" s="71"/>
      <c r="G47" s="71"/>
      <c r="H47" s="71">
        <f>213+970.98+230+362.75+230+230</f>
        <v>2236.73</v>
      </c>
      <c r="I47" s="71">
        <v>0</v>
      </c>
      <c r="J47" s="71">
        <f>115+260+611.6+610.15+230+1440</f>
        <v>3266.75</v>
      </c>
      <c r="K47" s="91">
        <f>299+361</f>
        <v>660</v>
      </c>
      <c r="L47" s="33">
        <f t="shared" si="6"/>
        <v>6463.48</v>
      </c>
      <c r="M47" s="68"/>
    </row>
    <row r="48" spans="1:14">
      <c r="A48" s="38" t="s">
        <v>60</v>
      </c>
      <c r="B48" s="30" t="s">
        <v>110</v>
      </c>
      <c r="C48" s="31"/>
      <c r="D48" s="32">
        <f>1965.75</f>
        <v>1965.75</v>
      </c>
      <c r="E48" s="32"/>
      <c r="F48" s="32"/>
      <c r="G48" s="32"/>
      <c r="H48" s="32">
        <f>2218.2</f>
        <v>2218.1999999999998</v>
      </c>
      <c r="I48" s="32">
        <f>300+502</f>
        <v>802</v>
      </c>
      <c r="J48" s="32">
        <f>180+126.15+150</f>
        <v>456.15</v>
      </c>
      <c r="K48" s="90">
        <v>0</v>
      </c>
      <c r="L48" s="33">
        <f t="shared" si="6"/>
        <v>5442.0999999999995</v>
      </c>
    </row>
    <row r="49" spans="1:14">
      <c r="A49" s="38" t="s">
        <v>61</v>
      </c>
      <c r="B49" s="30" t="s">
        <v>52</v>
      </c>
      <c r="C49" s="31"/>
      <c r="D49" s="32">
        <v>0</v>
      </c>
      <c r="E49" s="32"/>
      <c r="F49" s="32"/>
      <c r="G49" s="32"/>
      <c r="H49" s="32">
        <v>0</v>
      </c>
      <c r="I49" s="32">
        <v>0</v>
      </c>
      <c r="J49" s="32">
        <v>0</v>
      </c>
      <c r="K49" s="90">
        <v>0</v>
      </c>
      <c r="L49" s="33">
        <f t="shared" si="6"/>
        <v>0</v>
      </c>
    </row>
    <row r="50" spans="1:14">
      <c r="A50" s="38" t="s">
        <v>62</v>
      </c>
      <c r="B50" s="30" t="s">
        <v>99</v>
      </c>
      <c r="C50" s="31"/>
      <c r="D50" s="32">
        <f>400</f>
        <v>400</v>
      </c>
      <c r="E50" s="32"/>
      <c r="F50" s="32"/>
      <c r="G50" s="32"/>
      <c r="H50" s="32">
        <v>800</v>
      </c>
      <c r="I50" s="32">
        <v>0</v>
      </c>
      <c r="J50" s="32">
        <v>0</v>
      </c>
      <c r="K50" s="90">
        <v>0</v>
      </c>
      <c r="L50" s="33">
        <f t="shared" si="6"/>
        <v>1200</v>
      </c>
    </row>
    <row r="51" spans="1:14">
      <c r="A51" s="38" t="s">
        <v>63</v>
      </c>
      <c r="B51" s="29" t="s">
        <v>102</v>
      </c>
      <c r="C51" s="31"/>
      <c r="D51" s="32">
        <v>0</v>
      </c>
      <c r="E51" s="32"/>
      <c r="F51" s="32"/>
      <c r="G51" s="32"/>
      <c r="H51" s="32">
        <v>0</v>
      </c>
      <c r="I51" s="32">
        <v>0</v>
      </c>
      <c r="J51" s="32">
        <v>0</v>
      </c>
      <c r="K51" s="90">
        <v>0</v>
      </c>
      <c r="L51" s="33">
        <f t="shared" si="6"/>
        <v>0</v>
      </c>
    </row>
    <row r="52" spans="1:14">
      <c r="A52" s="38" t="s">
        <v>64</v>
      </c>
      <c r="B52" s="30" t="s">
        <v>103</v>
      </c>
      <c r="C52" s="31"/>
      <c r="D52" s="32">
        <v>0</v>
      </c>
      <c r="E52" s="32"/>
      <c r="F52" s="32"/>
      <c r="G52" s="32"/>
      <c r="H52" s="32">
        <v>0</v>
      </c>
      <c r="I52" s="32">
        <v>2780</v>
      </c>
      <c r="J52" s="32">
        <v>0</v>
      </c>
      <c r="K52" s="90">
        <v>0</v>
      </c>
      <c r="L52" s="33">
        <f t="shared" si="6"/>
        <v>2780</v>
      </c>
      <c r="M52" s="68"/>
    </row>
    <row r="53" spans="1:14">
      <c r="A53" s="38" t="s">
        <v>65</v>
      </c>
      <c r="B53" s="30" t="s">
        <v>53</v>
      </c>
      <c r="C53" s="31"/>
      <c r="D53" s="32">
        <v>0</v>
      </c>
      <c r="E53" s="32"/>
      <c r="F53" s="32"/>
      <c r="G53" s="32"/>
      <c r="H53" s="32">
        <v>0</v>
      </c>
      <c r="I53" s="32">
        <v>0</v>
      </c>
      <c r="J53" s="32">
        <f>150</f>
        <v>150</v>
      </c>
      <c r="K53" s="90">
        <v>0</v>
      </c>
      <c r="L53" s="33">
        <f t="shared" si="6"/>
        <v>150</v>
      </c>
    </row>
    <row r="54" spans="1:14">
      <c r="A54" s="38" t="s">
        <v>66</v>
      </c>
      <c r="B54" s="50" t="s">
        <v>111</v>
      </c>
      <c r="C54" s="31"/>
      <c r="D54" s="32">
        <v>0</v>
      </c>
      <c r="E54" s="32"/>
      <c r="F54" s="32"/>
      <c r="G54" s="32"/>
      <c r="H54" s="32">
        <v>0</v>
      </c>
      <c r="I54" s="32">
        <v>0</v>
      </c>
      <c r="J54" s="32">
        <v>0</v>
      </c>
      <c r="K54" s="90">
        <v>0</v>
      </c>
      <c r="L54" s="33">
        <f t="shared" si="6"/>
        <v>0</v>
      </c>
    </row>
    <row r="55" spans="1:14">
      <c r="A55" s="38" t="s">
        <v>67</v>
      </c>
      <c r="B55" s="29" t="s">
        <v>57</v>
      </c>
      <c r="C55" s="31"/>
      <c r="D55" s="32">
        <f>35.65+22.2+14.4</f>
        <v>72.25</v>
      </c>
      <c r="E55" s="32"/>
      <c r="F55" s="32"/>
      <c r="G55" s="32"/>
      <c r="H55" s="32">
        <f>24.8+22.2+21.6</f>
        <v>68.599999999999994</v>
      </c>
      <c r="I55" s="32">
        <f>26.35+22.2+14.4</f>
        <v>62.949999999999996</v>
      </c>
      <c r="J55" s="32">
        <f>43.4+0.35+0.35+22.2+23.4+0.7</f>
        <v>90.399999999999991</v>
      </c>
      <c r="K55" s="90">
        <f>35.65+22.2+25.2</f>
        <v>83.05</v>
      </c>
      <c r="L55" s="33">
        <f t="shared" si="6"/>
        <v>377.25</v>
      </c>
    </row>
    <row r="56" spans="1:14">
      <c r="A56" s="38" t="s">
        <v>72</v>
      </c>
      <c r="B56" s="30" t="s">
        <v>75</v>
      </c>
      <c r="C56" s="31"/>
      <c r="D56" s="32">
        <v>0</v>
      </c>
      <c r="E56" s="32"/>
      <c r="F56" s="32"/>
      <c r="G56" s="32"/>
      <c r="H56" s="32">
        <v>71.8</v>
      </c>
      <c r="I56" s="32">
        <v>71.8</v>
      </c>
      <c r="J56" s="32">
        <v>71.8</v>
      </c>
      <c r="K56" s="90">
        <v>71.8</v>
      </c>
      <c r="L56" s="33">
        <f t="shared" si="6"/>
        <v>287.2</v>
      </c>
    </row>
    <row r="57" spans="1:14">
      <c r="A57" s="38" t="s">
        <v>73</v>
      </c>
      <c r="B57" s="30" t="s">
        <v>98</v>
      </c>
      <c r="C57" s="31"/>
      <c r="D57" s="32">
        <v>827.55</v>
      </c>
      <c r="E57" s="32"/>
      <c r="F57" s="32"/>
      <c r="G57" s="32"/>
      <c r="H57" s="32">
        <v>827.55</v>
      </c>
      <c r="I57" s="32">
        <v>827.55</v>
      </c>
      <c r="J57" s="32">
        <v>827.55</v>
      </c>
      <c r="K57" s="90">
        <v>827.55</v>
      </c>
      <c r="L57" s="33">
        <f t="shared" si="6"/>
        <v>4137.75</v>
      </c>
    </row>
    <row r="58" spans="1:14">
      <c r="A58" s="38" t="s">
        <v>74</v>
      </c>
      <c r="B58" s="30" t="s">
        <v>82</v>
      </c>
      <c r="C58" s="31"/>
      <c r="D58" s="32">
        <f>42.37+336.53</f>
        <v>378.9</v>
      </c>
      <c r="E58" s="32"/>
      <c r="F58" s="32"/>
      <c r="G58" s="32"/>
      <c r="H58" s="32">
        <f>384.62+88</f>
        <v>472.62</v>
      </c>
      <c r="I58" s="32">
        <f>256.09+29.9</f>
        <v>285.98999999999995</v>
      </c>
      <c r="J58" s="32">
        <f>415.32+30.54</f>
        <v>445.86</v>
      </c>
      <c r="K58" s="90">
        <f>261.32+48.02</f>
        <v>309.33999999999997</v>
      </c>
      <c r="L58" s="33">
        <f t="shared" si="6"/>
        <v>1892.7099999999998</v>
      </c>
    </row>
    <row r="59" spans="1:14">
      <c r="A59" s="38" t="s">
        <v>81</v>
      </c>
      <c r="B59" s="30" t="s">
        <v>121</v>
      </c>
      <c r="C59" s="31"/>
      <c r="D59" s="32">
        <v>1616.16</v>
      </c>
      <c r="E59" s="32"/>
      <c r="F59" s="32"/>
      <c r="G59" s="32"/>
      <c r="H59" s="32">
        <v>0</v>
      </c>
      <c r="I59" s="32">
        <v>0</v>
      </c>
      <c r="J59" s="32">
        <v>0</v>
      </c>
      <c r="K59" s="90">
        <v>0</v>
      </c>
      <c r="L59" s="33">
        <f t="shared" si="6"/>
        <v>1616.16</v>
      </c>
    </row>
    <row r="60" spans="1:14" ht="16.5" thickBot="1">
      <c r="A60" s="38" t="s">
        <v>112</v>
      </c>
      <c r="B60" s="41" t="s">
        <v>113</v>
      </c>
      <c r="C60" s="40"/>
      <c r="D60" s="42"/>
      <c r="E60" s="42"/>
      <c r="F60" s="42"/>
      <c r="G60" s="42"/>
      <c r="H60" s="42"/>
      <c r="I60" s="42"/>
      <c r="J60" s="42"/>
      <c r="K60" s="92"/>
      <c r="L60" s="33">
        <f t="shared" si="6"/>
        <v>0</v>
      </c>
    </row>
    <row r="61" spans="1:14" ht="17.25" thickTop="1" thickBot="1">
      <c r="A61" s="189" t="s">
        <v>0</v>
      </c>
      <c r="B61" s="190"/>
      <c r="C61" s="61">
        <f>SUM(C34:C60)</f>
        <v>0</v>
      </c>
      <c r="D61" s="61">
        <f>SUM(D34:D60)</f>
        <v>17567.41</v>
      </c>
      <c r="E61" s="61">
        <f>SUM(E34:E58)</f>
        <v>0</v>
      </c>
      <c r="F61" s="96">
        <f>SUM(F34:F60)</f>
        <v>0</v>
      </c>
      <c r="G61" s="96">
        <f>SUM(G34:G60)</f>
        <v>0</v>
      </c>
      <c r="H61" s="96">
        <f>SUM(H33:H60)</f>
        <v>15410.689999999999</v>
      </c>
      <c r="I61" s="96">
        <f>SUM(I33:I60)</f>
        <v>18349.89</v>
      </c>
      <c r="J61" s="96">
        <f>SUM(J33:J60)</f>
        <v>19651.11</v>
      </c>
      <c r="K61" s="96">
        <f>SUM(K33:K60)</f>
        <v>18401.799999999996</v>
      </c>
      <c r="L61" s="62">
        <f>SUM(L34:L60)</f>
        <v>89380.900000000009</v>
      </c>
    </row>
    <row r="62" spans="1:14" ht="17.25" thickTop="1" thickBot="1">
      <c r="A62" s="169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1"/>
    </row>
    <row r="63" spans="1:14" ht="19.899999999999999" customHeight="1" thickTop="1" thickBot="1">
      <c r="A63" s="176" t="s">
        <v>35</v>
      </c>
      <c r="B63" s="177"/>
      <c r="C63" s="51">
        <f t="shared" ref="C63:L63" si="7">C28+C61</f>
        <v>0</v>
      </c>
      <c r="D63" s="51">
        <f>D28+D61-390.35</f>
        <v>22034.04</v>
      </c>
      <c r="E63" s="51">
        <f t="shared" si="7"/>
        <v>0</v>
      </c>
      <c r="F63" s="51">
        <f t="shared" si="7"/>
        <v>0</v>
      </c>
      <c r="G63" s="51">
        <f t="shared" si="7"/>
        <v>0</v>
      </c>
      <c r="H63" s="51">
        <f t="shared" si="7"/>
        <v>20080.28</v>
      </c>
      <c r="I63" s="51">
        <f t="shared" si="7"/>
        <v>22196.149999999998</v>
      </c>
      <c r="J63" s="51">
        <f>J28+J61-955.74</f>
        <v>22786.63</v>
      </c>
      <c r="K63" s="51">
        <f t="shared" si="7"/>
        <v>23507.359999999993</v>
      </c>
      <c r="L63" s="51">
        <f t="shared" si="7"/>
        <v>111950.55000000002</v>
      </c>
      <c r="N63" s="68"/>
    </row>
    <row r="64" spans="1:14" ht="17.25" thickTop="1" thickBot="1">
      <c r="A64" s="173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5"/>
    </row>
    <row r="65" spans="1:12" ht="17.25" thickTop="1" thickBot="1">
      <c r="A65" s="178" t="s">
        <v>36</v>
      </c>
      <c r="B65" s="179"/>
      <c r="C65" s="52">
        <f t="shared" ref="C65:J65" si="8">C14-C63</f>
        <v>32048.619999999988</v>
      </c>
      <c r="D65" s="52">
        <f t="shared" si="8"/>
        <v>8562.57</v>
      </c>
      <c r="E65" s="52">
        <f t="shared" si="8"/>
        <v>0</v>
      </c>
      <c r="F65" s="52">
        <f t="shared" si="8"/>
        <v>0</v>
      </c>
      <c r="G65" s="52">
        <f t="shared" si="8"/>
        <v>0</v>
      </c>
      <c r="H65" s="52">
        <f>H14-H63+829.57</f>
        <v>14061.160000000003</v>
      </c>
      <c r="I65" s="52">
        <f>I14-I63-1434.2</f>
        <v>11029.400000000001</v>
      </c>
      <c r="J65" s="52">
        <f t="shared" si="8"/>
        <v>10445.050000000007</v>
      </c>
      <c r="K65" s="52">
        <f>K14-K63-1037.42</f>
        <v>31051.520000000004</v>
      </c>
      <c r="L65" s="52"/>
    </row>
    <row r="66" spans="1:12" ht="16.5" thickTop="1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0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C68" s="43"/>
      <c r="D68" s="43"/>
      <c r="K68" s="43"/>
    </row>
    <row r="70" spans="1:12">
      <c r="A70" s="181" t="s">
        <v>105</v>
      </c>
      <c r="B70" s="181"/>
      <c r="C70" s="172" t="s">
        <v>106</v>
      </c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ht="20.25">
      <c r="A71" s="182" t="s">
        <v>104</v>
      </c>
      <c r="B71" s="182"/>
      <c r="C71" s="83"/>
      <c r="D71" s="135" t="s">
        <v>69</v>
      </c>
      <c r="E71" s="134"/>
      <c r="F71" s="134"/>
      <c r="G71" s="134"/>
      <c r="H71" s="134"/>
      <c r="I71" s="134"/>
      <c r="J71" s="134"/>
      <c r="K71" s="134"/>
      <c r="L71" s="134"/>
    </row>
    <row r="72" spans="1:12" ht="20.25">
      <c r="A72" s="183" t="s">
        <v>107</v>
      </c>
      <c r="B72" s="183"/>
      <c r="C72" s="83"/>
      <c r="D72" s="136" t="s">
        <v>87</v>
      </c>
      <c r="E72" s="133"/>
      <c r="F72" s="133"/>
      <c r="G72" s="133"/>
      <c r="H72" s="133"/>
      <c r="I72" s="133"/>
      <c r="J72" s="133"/>
      <c r="K72" s="133"/>
      <c r="L72" s="133"/>
    </row>
  </sheetData>
  <mergeCells count="18">
    <mergeCell ref="A63:B63"/>
    <mergeCell ref="A1:L2"/>
    <mergeCell ref="A3:L3"/>
    <mergeCell ref="A4:L4"/>
    <mergeCell ref="A14:B14"/>
    <mergeCell ref="A16:L16"/>
    <mergeCell ref="A17:L17"/>
    <mergeCell ref="A18:L18"/>
    <mergeCell ref="A28:B28"/>
    <mergeCell ref="A30:L30"/>
    <mergeCell ref="A61:B61"/>
    <mergeCell ref="A62:L62"/>
    <mergeCell ref="A72:B72"/>
    <mergeCell ref="A64:L64"/>
    <mergeCell ref="A65:B65"/>
    <mergeCell ref="A70:B70"/>
    <mergeCell ref="C70:L70"/>
    <mergeCell ref="A71:B71"/>
  </mergeCells>
  <pageMargins left="0.31496062992125984" right="0.11811023622047245" top="0.59055118110236227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>
      <selection sqref="A1:L2"/>
    </sheetView>
  </sheetViews>
  <sheetFormatPr defaultRowHeight="15.75"/>
  <cols>
    <col min="1" max="1" width="7.875" style="1" customWidth="1"/>
    <col min="2" max="2" width="47.375" style="1" customWidth="1"/>
    <col min="3" max="3" width="10" style="1" bestFit="1" customWidth="1"/>
    <col min="4" max="4" width="12.625" style="1" bestFit="1" customWidth="1"/>
    <col min="5" max="7" width="11.125" style="1" hidden="1" customWidth="1"/>
    <col min="8" max="10" width="11.125" style="1" customWidth="1"/>
    <col min="11" max="11" width="10.375" style="1" customWidth="1"/>
    <col min="12" max="12" width="11.125" style="1" bestFit="1" customWidth="1"/>
  </cols>
  <sheetData>
    <row r="1" spans="1:12" ht="16.5" thickTop="1">
      <c r="A1" s="163" t="s">
        <v>11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6.5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7.25" thickTop="1" thickBo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7.25" thickTop="1" thickBot="1">
      <c r="A4" s="176" t="s">
        <v>12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77"/>
    </row>
    <row r="5" spans="1:12" ht="17.25" thickTop="1" thickBot="1">
      <c r="A5" s="75" t="s">
        <v>13</v>
      </c>
      <c r="B5" s="18" t="s">
        <v>14</v>
      </c>
      <c r="C5" s="125">
        <v>41640</v>
      </c>
      <c r="D5" s="125">
        <v>41671</v>
      </c>
      <c r="E5" s="125">
        <v>41699</v>
      </c>
      <c r="F5" s="125">
        <v>41730</v>
      </c>
      <c r="G5" s="125">
        <v>41760</v>
      </c>
      <c r="H5" s="125">
        <v>41699</v>
      </c>
      <c r="I5" s="125">
        <v>41730</v>
      </c>
      <c r="J5" s="125">
        <v>41760</v>
      </c>
      <c r="K5" s="125">
        <v>41791</v>
      </c>
      <c r="L5" s="74" t="s">
        <v>15</v>
      </c>
    </row>
    <row r="6" spans="1:12" ht="16.5" thickTop="1">
      <c r="A6" s="63">
        <v>1</v>
      </c>
      <c r="B6" s="56" t="s">
        <v>80</v>
      </c>
      <c r="C6" s="57">
        <v>3094.81</v>
      </c>
      <c r="D6" s="57">
        <f>C64</f>
        <v>11201.590000000004</v>
      </c>
      <c r="E6" s="57">
        <f t="shared" ref="E6:K6" si="0">D64</f>
        <v>11201.590000000004</v>
      </c>
      <c r="F6" s="57">
        <f t="shared" si="0"/>
        <v>11201.590000000004</v>
      </c>
      <c r="G6" s="57">
        <f t="shared" si="0"/>
        <v>11201.590000000004</v>
      </c>
      <c r="H6" s="57">
        <f t="shared" si="0"/>
        <v>11201.590000000004</v>
      </c>
      <c r="I6" s="57">
        <f t="shared" si="0"/>
        <v>11201.590000000004</v>
      </c>
      <c r="J6" s="57">
        <f t="shared" si="0"/>
        <v>11201.590000000004</v>
      </c>
      <c r="K6" s="57">
        <f t="shared" si="0"/>
        <v>11201.590000000004</v>
      </c>
      <c r="L6" s="58"/>
    </row>
    <row r="7" spans="1:12">
      <c r="A7" s="64">
        <v>2</v>
      </c>
      <c r="B7" s="53" t="s">
        <v>39</v>
      </c>
      <c r="C7" s="54">
        <f>27602.83+2611.95</f>
        <v>30214.780000000002</v>
      </c>
      <c r="D7" s="54"/>
      <c r="E7" s="54"/>
      <c r="F7" s="87"/>
      <c r="G7" s="87"/>
      <c r="H7" s="87"/>
      <c r="I7" s="87"/>
      <c r="J7" s="87"/>
      <c r="K7" s="87"/>
      <c r="L7" s="55">
        <f>SUM(C7:K7)</f>
        <v>30214.780000000002</v>
      </c>
    </row>
    <row r="8" spans="1:12">
      <c r="A8" s="65">
        <v>3</v>
      </c>
      <c r="B8" s="28" t="s">
        <v>38</v>
      </c>
      <c r="C8" s="45">
        <v>0</v>
      </c>
      <c r="D8" s="45"/>
      <c r="E8" s="45"/>
      <c r="F8" s="87"/>
      <c r="G8" s="87"/>
      <c r="H8" s="87"/>
      <c r="I8" s="87"/>
      <c r="J8" s="87"/>
      <c r="K8" s="87"/>
      <c r="L8" s="55">
        <f t="shared" ref="L8:L13" si="1">SUM(C8:K8)</f>
        <v>0</v>
      </c>
    </row>
    <row r="9" spans="1:12">
      <c r="A9" s="65">
        <v>4</v>
      </c>
      <c r="B9" s="29" t="s">
        <v>100</v>
      </c>
      <c r="C9" s="70">
        <v>0</v>
      </c>
      <c r="D9" s="45"/>
      <c r="E9" s="45"/>
      <c r="F9" s="87"/>
      <c r="G9" s="87"/>
      <c r="H9" s="87"/>
      <c r="I9" s="87"/>
      <c r="J9" s="87"/>
      <c r="K9" s="87"/>
      <c r="L9" s="55">
        <f t="shared" si="1"/>
        <v>0</v>
      </c>
    </row>
    <row r="10" spans="1:12">
      <c r="A10" s="65">
        <v>5</v>
      </c>
      <c r="B10" s="29" t="s">
        <v>79</v>
      </c>
      <c r="C10" s="45">
        <v>0</v>
      </c>
      <c r="D10" s="45"/>
      <c r="E10" s="45"/>
      <c r="F10" s="87"/>
      <c r="G10" s="87"/>
      <c r="H10" s="87"/>
      <c r="I10" s="87"/>
      <c r="J10" s="87"/>
      <c r="K10" s="87"/>
      <c r="L10" s="55">
        <f t="shared" si="1"/>
        <v>0</v>
      </c>
    </row>
    <row r="11" spans="1:12">
      <c r="A11" s="65">
        <v>6</v>
      </c>
      <c r="B11" s="29" t="s">
        <v>8</v>
      </c>
      <c r="C11" s="45">
        <v>0</v>
      </c>
      <c r="D11" s="45"/>
      <c r="E11" s="45"/>
      <c r="F11" s="87"/>
      <c r="G11" s="87"/>
      <c r="H11" s="87"/>
      <c r="I11" s="87"/>
      <c r="J11" s="87"/>
      <c r="K11" s="87"/>
      <c r="L11" s="55">
        <f t="shared" si="1"/>
        <v>0</v>
      </c>
    </row>
    <row r="12" spans="1:12">
      <c r="A12" s="65">
        <v>7</v>
      </c>
      <c r="B12" s="29" t="s">
        <v>76</v>
      </c>
      <c r="C12" s="45">
        <v>0</v>
      </c>
      <c r="D12" s="45"/>
      <c r="E12" s="45"/>
      <c r="F12" s="87"/>
      <c r="G12" s="87"/>
      <c r="H12" s="87"/>
      <c r="I12" s="87"/>
      <c r="J12" s="87"/>
      <c r="K12" s="87"/>
      <c r="L12" s="55">
        <f t="shared" si="1"/>
        <v>0</v>
      </c>
    </row>
    <row r="13" spans="1:12">
      <c r="A13" s="106">
        <v>8</v>
      </c>
      <c r="B13" s="107" t="s">
        <v>78</v>
      </c>
      <c r="C13" s="108">
        <v>0</v>
      </c>
      <c r="D13" s="108"/>
      <c r="E13" s="108"/>
      <c r="F13" s="88"/>
      <c r="G13" s="88"/>
      <c r="H13" s="88"/>
      <c r="I13" s="88"/>
      <c r="J13" s="88"/>
      <c r="K13" s="88"/>
      <c r="L13" s="55">
        <f t="shared" si="1"/>
        <v>0</v>
      </c>
    </row>
    <row r="14" spans="1:12" ht="16.5" thickBot="1">
      <c r="A14" s="167" t="s">
        <v>0</v>
      </c>
      <c r="B14" s="168"/>
      <c r="C14" s="114">
        <f t="shared" ref="C14:J14" si="2">SUM(C6:C13)</f>
        <v>33309.590000000004</v>
      </c>
      <c r="D14" s="114">
        <f t="shared" si="2"/>
        <v>11201.590000000004</v>
      </c>
      <c r="E14" s="114">
        <f t="shared" si="2"/>
        <v>11201.590000000004</v>
      </c>
      <c r="F14" s="115">
        <f t="shared" si="2"/>
        <v>11201.590000000004</v>
      </c>
      <c r="G14" s="115">
        <f t="shared" si="2"/>
        <v>11201.590000000004</v>
      </c>
      <c r="H14" s="115">
        <f t="shared" si="2"/>
        <v>11201.590000000004</v>
      </c>
      <c r="I14" s="115">
        <f t="shared" si="2"/>
        <v>11201.590000000004</v>
      </c>
      <c r="J14" s="115">
        <f t="shared" si="2"/>
        <v>11201.590000000004</v>
      </c>
      <c r="K14" s="115">
        <f>SUM(K6:K13)</f>
        <v>11201.590000000004</v>
      </c>
      <c r="L14" s="116">
        <f>SUM(L7:L13)</f>
        <v>30214.780000000002</v>
      </c>
    </row>
    <row r="15" spans="1:12" ht="16.5" thickBot="1">
      <c r="A15" s="110"/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17.25" thickTop="1" thickBot="1">
      <c r="A16" s="176" t="s">
        <v>118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77"/>
    </row>
    <row r="17" spans="1:14" ht="17.25" thickTop="1" thickBo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1"/>
    </row>
    <row r="18" spans="1:14" ht="19.899999999999999" customHeight="1" thickTop="1" thickBot="1">
      <c r="A18" s="176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77"/>
    </row>
    <row r="19" spans="1:14" ht="31.5" thickTop="1" thickBot="1">
      <c r="A19" s="76" t="s">
        <v>13</v>
      </c>
      <c r="B19" s="19" t="s">
        <v>14</v>
      </c>
      <c r="C19" s="125">
        <f>C5</f>
        <v>41640</v>
      </c>
      <c r="D19" s="125">
        <f t="shared" ref="D19:K19" si="3">D5</f>
        <v>41671</v>
      </c>
      <c r="E19" s="125">
        <f t="shared" si="3"/>
        <v>41699</v>
      </c>
      <c r="F19" s="125">
        <f t="shared" si="3"/>
        <v>41730</v>
      </c>
      <c r="G19" s="125">
        <f t="shared" si="3"/>
        <v>41760</v>
      </c>
      <c r="H19" s="125">
        <f t="shared" si="3"/>
        <v>41699</v>
      </c>
      <c r="I19" s="125">
        <f t="shared" si="3"/>
        <v>41730</v>
      </c>
      <c r="J19" s="125">
        <f t="shared" si="3"/>
        <v>41760</v>
      </c>
      <c r="K19" s="125">
        <f t="shared" si="3"/>
        <v>41791</v>
      </c>
      <c r="L19" s="73" t="s">
        <v>15</v>
      </c>
    </row>
    <row r="20" spans="1:14" ht="16.5" thickTop="1">
      <c r="A20" s="12"/>
      <c r="B20" s="13"/>
      <c r="C20" s="13"/>
      <c r="D20" s="13"/>
      <c r="E20" s="13"/>
      <c r="F20" s="89"/>
      <c r="G20" s="89"/>
      <c r="H20" s="89"/>
      <c r="I20" s="89"/>
      <c r="J20" s="89"/>
      <c r="K20" s="89"/>
      <c r="L20" s="14"/>
    </row>
    <row r="21" spans="1:14">
      <c r="A21" s="66" t="s">
        <v>18</v>
      </c>
      <c r="B21" s="30" t="s">
        <v>115</v>
      </c>
      <c r="C21" s="31">
        <v>0</v>
      </c>
      <c r="D21" s="32"/>
      <c r="E21" s="32"/>
      <c r="F21" s="90"/>
      <c r="G21" s="90"/>
      <c r="H21" s="90"/>
      <c r="I21" s="90"/>
      <c r="J21" s="90"/>
      <c r="K21" s="90"/>
      <c r="L21" s="33">
        <f>SUM(C21:K21)</f>
        <v>0</v>
      </c>
    </row>
    <row r="22" spans="1:14">
      <c r="A22" s="66" t="s">
        <v>19</v>
      </c>
      <c r="B22" s="30" t="s">
        <v>21</v>
      </c>
      <c r="C22" s="31">
        <v>0</v>
      </c>
      <c r="D22" s="32"/>
      <c r="E22" s="32"/>
      <c r="F22" s="90"/>
      <c r="G22" s="90"/>
      <c r="H22" s="90"/>
      <c r="I22" s="90"/>
      <c r="J22" s="90"/>
      <c r="K22" s="90"/>
      <c r="L22" s="33">
        <f t="shared" ref="L22:L26" si="4">SUM(C22:K22)</f>
        <v>0</v>
      </c>
    </row>
    <row r="23" spans="1:14">
      <c r="A23" s="66" t="s">
        <v>20</v>
      </c>
      <c r="B23" s="30" t="s">
        <v>23</v>
      </c>
      <c r="C23" s="31">
        <v>0</v>
      </c>
      <c r="D23" s="32"/>
      <c r="E23" s="32"/>
      <c r="F23" s="90"/>
      <c r="G23" s="90"/>
      <c r="H23" s="90"/>
      <c r="I23" s="90"/>
      <c r="J23" s="90"/>
      <c r="K23" s="90"/>
      <c r="L23" s="33">
        <f t="shared" si="4"/>
        <v>0</v>
      </c>
    </row>
    <row r="24" spans="1:14">
      <c r="A24" s="66" t="s">
        <v>22</v>
      </c>
      <c r="B24" s="30" t="s">
        <v>41</v>
      </c>
      <c r="C24" s="31">
        <v>300</v>
      </c>
      <c r="D24" s="32"/>
      <c r="E24" s="71"/>
      <c r="F24" s="91"/>
      <c r="G24" s="91"/>
      <c r="H24" s="91"/>
      <c r="I24" s="91"/>
      <c r="J24" s="91"/>
      <c r="K24" s="91"/>
      <c r="L24" s="33">
        <f t="shared" si="4"/>
        <v>300</v>
      </c>
    </row>
    <row r="25" spans="1:14">
      <c r="A25" s="66" t="s">
        <v>24</v>
      </c>
      <c r="B25" s="30" t="s">
        <v>43</v>
      </c>
      <c r="C25" s="31">
        <v>1700</v>
      </c>
      <c r="D25" s="32"/>
      <c r="E25" s="32"/>
      <c r="F25" s="90"/>
      <c r="G25" s="90"/>
      <c r="H25" s="90"/>
      <c r="I25" s="90"/>
      <c r="J25" s="90"/>
      <c r="K25" s="90"/>
      <c r="L25" s="33">
        <f t="shared" si="4"/>
        <v>1700</v>
      </c>
    </row>
    <row r="26" spans="1:14" ht="16.5" thickBot="1">
      <c r="A26" s="66" t="s">
        <v>29</v>
      </c>
      <c r="B26" s="118" t="s">
        <v>126</v>
      </c>
      <c r="C26" s="119">
        <v>381.24</v>
      </c>
      <c r="D26" s="120"/>
      <c r="E26" s="120"/>
      <c r="F26" s="121"/>
      <c r="G26" s="121"/>
      <c r="H26" s="121"/>
      <c r="I26" s="121"/>
      <c r="J26" s="121"/>
      <c r="K26" s="121"/>
      <c r="L26" s="33">
        <f t="shared" si="4"/>
        <v>381.24</v>
      </c>
    </row>
    <row r="27" spans="1:14" ht="17.25" thickTop="1" thickBot="1">
      <c r="A27" s="187" t="s">
        <v>15</v>
      </c>
      <c r="B27" s="188"/>
      <c r="C27" s="59">
        <f t="shared" ref="C27:L27" si="5">SUM(C21:C26)</f>
        <v>2381.2399999999998</v>
      </c>
      <c r="D27" s="59">
        <f t="shared" si="5"/>
        <v>0</v>
      </c>
      <c r="E27" s="59">
        <f t="shared" si="5"/>
        <v>0</v>
      </c>
      <c r="F27" s="93">
        <f t="shared" si="5"/>
        <v>0</v>
      </c>
      <c r="G27" s="93">
        <f t="shared" si="5"/>
        <v>0</v>
      </c>
      <c r="H27" s="93">
        <f t="shared" si="5"/>
        <v>0</v>
      </c>
      <c r="I27" s="93">
        <f t="shared" si="5"/>
        <v>0</v>
      </c>
      <c r="J27" s="93">
        <f t="shared" si="5"/>
        <v>0</v>
      </c>
      <c r="K27" s="93">
        <f t="shared" si="5"/>
        <v>0</v>
      </c>
      <c r="L27" s="60">
        <f t="shared" si="5"/>
        <v>2381.2399999999998</v>
      </c>
      <c r="N27" s="82"/>
    </row>
    <row r="28" spans="1:14" ht="16.5" thickTop="1">
      <c r="A28" s="145"/>
      <c r="B28" s="145"/>
      <c r="C28" s="146"/>
      <c r="D28" s="146"/>
      <c r="E28" s="146"/>
      <c r="F28" s="146"/>
      <c r="G28" s="146"/>
      <c r="H28" s="146"/>
      <c r="I28" s="146"/>
      <c r="J28" s="146"/>
      <c r="K28" s="146"/>
      <c r="L28" s="147"/>
      <c r="N28" s="82"/>
    </row>
    <row r="29" spans="1:14">
      <c r="A29" s="145"/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7"/>
      <c r="N29" s="82"/>
    </row>
    <row r="30" spans="1:14">
      <c r="A30" s="145"/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7"/>
      <c r="N30" s="82"/>
    </row>
    <row r="31" spans="1:14">
      <c r="A31" s="145"/>
      <c r="B31" s="145"/>
      <c r="C31" s="146"/>
      <c r="D31" s="146"/>
      <c r="E31" s="146"/>
      <c r="F31" s="146"/>
      <c r="G31" s="146"/>
      <c r="H31" s="146"/>
      <c r="I31" s="146"/>
      <c r="J31" s="146"/>
      <c r="K31" s="146"/>
      <c r="L31" s="147"/>
      <c r="N31" s="82"/>
    </row>
    <row r="32" spans="1:14">
      <c r="A32" s="145"/>
      <c r="B32" s="145"/>
      <c r="C32" s="146"/>
      <c r="D32" s="146"/>
      <c r="E32" s="146"/>
      <c r="F32" s="146"/>
      <c r="G32" s="146"/>
      <c r="H32" s="146"/>
      <c r="I32" s="146"/>
      <c r="J32" s="146"/>
      <c r="K32" s="146"/>
      <c r="L32" s="147"/>
      <c r="N32" s="82"/>
    </row>
    <row r="33" spans="1:14">
      <c r="A33" s="145"/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7"/>
      <c r="N33" s="82"/>
    </row>
    <row r="34" spans="1:14" ht="16.5" thickBot="1">
      <c r="A34" s="141"/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4"/>
      <c r="N34" s="82"/>
    </row>
    <row r="35" spans="1:14" ht="19.899999999999999" customHeight="1" thickTop="1" thickBot="1">
      <c r="A35" s="184" t="s">
        <v>28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14" ht="9" customHeight="1" thickTop="1" thickBo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</row>
    <row r="37" spans="1:14" ht="17.25" thickTop="1" thickBot="1">
      <c r="A37" s="77" t="s">
        <v>13</v>
      </c>
      <c r="B37" s="78" t="s">
        <v>14</v>
      </c>
      <c r="C37" s="125">
        <v>41640</v>
      </c>
      <c r="D37" s="125">
        <v>41671</v>
      </c>
      <c r="E37" s="73">
        <f>E5</f>
        <v>41699</v>
      </c>
      <c r="F37" s="94" t="s">
        <v>108</v>
      </c>
      <c r="G37" s="94" t="s">
        <v>109</v>
      </c>
      <c r="H37" s="128">
        <v>41699</v>
      </c>
      <c r="I37" s="128">
        <f t="shared" ref="I37:J37" si="6">I19</f>
        <v>41730</v>
      </c>
      <c r="J37" s="128">
        <f t="shared" si="6"/>
        <v>41760</v>
      </c>
      <c r="K37" s="128">
        <f>K19</f>
        <v>41791</v>
      </c>
      <c r="L37" s="79" t="s">
        <v>15</v>
      </c>
    </row>
    <row r="38" spans="1:14" ht="16.5" thickTop="1">
      <c r="A38" s="38" t="s">
        <v>18</v>
      </c>
      <c r="B38" s="30" t="s">
        <v>44</v>
      </c>
      <c r="C38" s="31">
        <f>3748.28+352.94+1057.9</f>
        <v>5159.1200000000008</v>
      </c>
      <c r="D38" s="32"/>
      <c r="E38" s="32"/>
      <c r="F38" s="90"/>
      <c r="G38" s="90"/>
      <c r="H38" s="90"/>
      <c r="I38" s="90"/>
      <c r="J38" s="90"/>
      <c r="K38" s="90"/>
      <c r="L38" s="33">
        <f>SUM(C38:K38)</f>
        <v>5159.1200000000008</v>
      </c>
    </row>
    <row r="39" spans="1:14">
      <c r="A39" s="38" t="s">
        <v>19</v>
      </c>
      <c r="B39" s="30" t="s">
        <v>123</v>
      </c>
      <c r="C39" s="31">
        <v>0</v>
      </c>
      <c r="D39" s="32"/>
      <c r="E39" s="32"/>
      <c r="F39" s="90"/>
      <c r="G39" s="90"/>
      <c r="H39" s="90"/>
      <c r="I39" s="90"/>
      <c r="J39" s="90"/>
      <c r="K39" s="90"/>
      <c r="L39" s="33">
        <f t="shared" ref="L39:L59" si="7">SUM(C39:K39)</f>
        <v>0</v>
      </c>
    </row>
    <row r="40" spans="1:14">
      <c r="A40" s="38" t="s">
        <v>20</v>
      </c>
      <c r="B40" s="30" t="s">
        <v>125</v>
      </c>
      <c r="C40" s="31">
        <f>2000+2000</f>
        <v>4000</v>
      </c>
      <c r="D40" s="32"/>
      <c r="E40" s="32"/>
      <c r="F40" s="90"/>
      <c r="G40" s="90"/>
      <c r="H40" s="90"/>
      <c r="I40" s="90"/>
      <c r="J40" s="90"/>
      <c r="K40" s="90"/>
      <c r="L40" s="33">
        <f t="shared" si="7"/>
        <v>4000</v>
      </c>
    </row>
    <row r="41" spans="1:14">
      <c r="A41" s="38" t="s">
        <v>22</v>
      </c>
      <c r="B41" s="30" t="s">
        <v>84</v>
      </c>
      <c r="C41" s="31">
        <f>91.4</f>
        <v>91.4</v>
      </c>
      <c r="D41" s="32"/>
      <c r="E41" s="32"/>
      <c r="F41" s="90"/>
      <c r="G41" s="90"/>
      <c r="H41" s="90"/>
      <c r="I41" s="90"/>
      <c r="J41" s="90"/>
      <c r="K41" s="90"/>
      <c r="L41" s="33">
        <f t="shared" si="7"/>
        <v>91.4</v>
      </c>
    </row>
    <row r="42" spans="1:14">
      <c r="A42" s="38" t="s">
        <v>24</v>
      </c>
      <c r="B42" s="30" t="s">
        <v>101</v>
      </c>
      <c r="C42" s="31">
        <f>687.5+230</f>
        <v>917.5</v>
      </c>
      <c r="D42" s="32"/>
      <c r="E42" s="32"/>
      <c r="F42" s="90"/>
      <c r="G42" s="90"/>
      <c r="H42" s="90"/>
      <c r="I42" s="90"/>
      <c r="J42" s="90"/>
      <c r="K42" s="90"/>
      <c r="L42" s="33">
        <f t="shared" si="7"/>
        <v>917.5</v>
      </c>
    </row>
    <row r="43" spans="1:14">
      <c r="A43" s="38" t="s">
        <v>29</v>
      </c>
      <c r="B43" s="30" t="s">
        <v>83</v>
      </c>
      <c r="C43" s="31">
        <v>0</v>
      </c>
      <c r="D43" s="32"/>
      <c r="E43" s="32"/>
      <c r="F43" s="90"/>
      <c r="G43" s="90"/>
      <c r="H43" s="90"/>
      <c r="I43" s="90"/>
      <c r="J43" s="90"/>
      <c r="K43" s="90"/>
      <c r="L43" s="33">
        <f t="shared" si="7"/>
        <v>0</v>
      </c>
    </row>
    <row r="44" spans="1:14">
      <c r="A44" s="38" t="s">
        <v>25</v>
      </c>
      <c r="B44" s="30" t="s">
        <v>85</v>
      </c>
      <c r="C44" s="31">
        <v>0</v>
      </c>
      <c r="D44" s="32"/>
      <c r="E44" s="32"/>
      <c r="F44" s="90"/>
      <c r="G44" s="90"/>
      <c r="H44" s="90"/>
      <c r="I44" s="90"/>
      <c r="J44" s="90"/>
      <c r="K44" s="90"/>
      <c r="L44" s="33">
        <f t="shared" si="7"/>
        <v>0</v>
      </c>
    </row>
    <row r="45" spans="1:14">
      <c r="A45" s="38" t="s">
        <v>26</v>
      </c>
      <c r="B45" s="39" t="s">
        <v>46</v>
      </c>
      <c r="C45" s="31">
        <v>0</v>
      </c>
      <c r="D45" s="32"/>
      <c r="E45" s="32"/>
      <c r="F45" s="90"/>
      <c r="G45" s="90"/>
      <c r="H45" s="90"/>
      <c r="I45" s="90"/>
      <c r="J45" s="90"/>
      <c r="K45" s="90"/>
      <c r="L45" s="33">
        <f t="shared" si="7"/>
        <v>0</v>
      </c>
    </row>
    <row r="46" spans="1:14">
      <c r="A46" s="38" t="s">
        <v>27</v>
      </c>
      <c r="B46" s="30" t="s">
        <v>47</v>
      </c>
      <c r="C46" s="31">
        <v>0</v>
      </c>
      <c r="D46" s="32"/>
      <c r="E46" s="32"/>
      <c r="F46" s="90"/>
      <c r="G46" s="90"/>
      <c r="H46" s="90"/>
      <c r="I46" s="90"/>
      <c r="J46" s="90"/>
      <c r="K46" s="90"/>
      <c r="L46" s="33">
        <f t="shared" si="7"/>
        <v>0</v>
      </c>
    </row>
    <row r="47" spans="1:14">
      <c r="A47" s="38" t="s">
        <v>30</v>
      </c>
      <c r="B47" s="30" t="s">
        <v>48</v>
      </c>
      <c r="C47" s="31">
        <v>0</v>
      </c>
      <c r="D47" s="32"/>
      <c r="E47" s="32"/>
      <c r="F47" s="90"/>
      <c r="G47" s="90"/>
      <c r="H47" s="90"/>
      <c r="I47" s="90"/>
      <c r="J47" s="90"/>
      <c r="K47" s="90"/>
      <c r="L47" s="33">
        <f t="shared" si="7"/>
        <v>0</v>
      </c>
    </row>
    <row r="48" spans="1:14">
      <c r="A48" s="38" t="s">
        <v>31</v>
      </c>
      <c r="B48" s="30" t="s">
        <v>50</v>
      </c>
      <c r="C48" s="31">
        <f>2528.93+1511.89+2303.17+398.1+182.68</f>
        <v>6924.77</v>
      </c>
      <c r="D48" s="32"/>
      <c r="E48" s="32"/>
      <c r="F48" s="32"/>
      <c r="G48" s="32"/>
      <c r="H48" s="32"/>
      <c r="I48" s="32"/>
      <c r="J48" s="32"/>
      <c r="K48" s="90"/>
      <c r="L48" s="33">
        <f t="shared" si="7"/>
        <v>6924.77</v>
      </c>
    </row>
    <row r="49" spans="1:14">
      <c r="A49" s="38" t="s">
        <v>32</v>
      </c>
      <c r="B49" s="30" t="s">
        <v>86</v>
      </c>
      <c r="C49" s="31">
        <f>170+85</f>
        <v>255</v>
      </c>
      <c r="D49" s="32"/>
      <c r="E49" s="71"/>
      <c r="F49" s="71"/>
      <c r="G49" s="71"/>
      <c r="H49" s="71"/>
      <c r="I49" s="71"/>
      <c r="J49" s="71"/>
      <c r="K49" s="91"/>
      <c r="L49" s="33">
        <f t="shared" si="7"/>
        <v>255</v>
      </c>
      <c r="M49" s="68"/>
    </row>
    <row r="50" spans="1:14">
      <c r="A50" s="38" t="s">
        <v>33</v>
      </c>
      <c r="B50" s="30" t="s">
        <v>110</v>
      </c>
      <c r="C50" s="31">
        <v>0</v>
      </c>
      <c r="D50" s="32"/>
      <c r="E50" s="32"/>
      <c r="F50" s="32"/>
      <c r="G50" s="32"/>
      <c r="H50" s="32"/>
      <c r="I50" s="32"/>
      <c r="J50" s="32"/>
      <c r="K50" s="90"/>
      <c r="L50" s="33">
        <f t="shared" si="7"/>
        <v>0</v>
      </c>
    </row>
    <row r="51" spans="1:14">
      <c r="A51" s="38" t="s">
        <v>34</v>
      </c>
      <c r="B51" s="30" t="s">
        <v>52</v>
      </c>
      <c r="C51" s="31">
        <v>0</v>
      </c>
      <c r="D51" s="32"/>
      <c r="E51" s="32"/>
      <c r="F51" s="32"/>
      <c r="G51" s="32"/>
      <c r="H51" s="32"/>
      <c r="I51" s="32"/>
      <c r="J51" s="32"/>
      <c r="K51" s="90"/>
      <c r="L51" s="33">
        <f t="shared" si="7"/>
        <v>0</v>
      </c>
    </row>
    <row r="52" spans="1:14">
      <c r="A52" s="38" t="s">
        <v>60</v>
      </c>
      <c r="B52" s="30" t="s">
        <v>124</v>
      </c>
      <c r="C52" s="31">
        <f>69.9</f>
        <v>69.900000000000006</v>
      </c>
      <c r="D52" s="32"/>
      <c r="E52" s="32"/>
      <c r="F52" s="32"/>
      <c r="G52" s="32"/>
      <c r="H52" s="32"/>
      <c r="I52" s="32"/>
      <c r="J52" s="32"/>
      <c r="K52" s="90"/>
      <c r="L52" s="33">
        <f t="shared" si="7"/>
        <v>69.900000000000006</v>
      </c>
    </row>
    <row r="53" spans="1:14">
      <c r="A53" s="38" t="s">
        <v>61</v>
      </c>
      <c r="B53" s="30" t="s">
        <v>53</v>
      </c>
      <c r="C53" s="31">
        <v>0</v>
      </c>
      <c r="D53" s="32"/>
      <c r="E53" s="32"/>
      <c r="F53" s="32"/>
      <c r="G53" s="32"/>
      <c r="H53" s="32"/>
      <c r="I53" s="32"/>
      <c r="J53" s="32"/>
      <c r="K53" s="90"/>
      <c r="L53" s="33">
        <f t="shared" si="7"/>
        <v>0</v>
      </c>
    </row>
    <row r="54" spans="1:14">
      <c r="A54" s="38" t="s">
        <v>62</v>
      </c>
      <c r="B54" s="50" t="s">
        <v>111</v>
      </c>
      <c r="C54" s="31">
        <v>0</v>
      </c>
      <c r="D54" s="32"/>
      <c r="E54" s="32"/>
      <c r="F54" s="32"/>
      <c r="G54" s="32"/>
      <c r="H54" s="32"/>
      <c r="I54" s="32"/>
      <c r="J54" s="32"/>
      <c r="K54" s="90"/>
      <c r="L54" s="33">
        <f t="shared" si="7"/>
        <v>0</v>
      </c>
    </row>
    <row r="55" spans="1:14">
      <c r="A55" s="38" t="s">
        <v>63</v>
      </c>
      <c r="B55" s="29" t="s">
        <v>57</v>
      </c>
      <c r="C55" s="31">
        <f>26+41.4+24.9+36</f>
        <v>128.30000000000001</v>
      </c>
      <c r="D55" s="32"/>
      <c r="E55" s="32"/>
      <c r="F55" s="32"/>
      <c r="G55" s="32"/>
      <c r="H55" s="32"/>
      <c r="I55" s="32"/>
      <c r="J55" s="32"/>
      <c r="K55" s="90"/>
      <c r="L55" s="33">
        <f t="shared" si="7"/>
        <v>128.30000000000001</v>
      </c>
    </row>
    <row r="56" spans="1:14">
      <c r="A56" s="38" t="s">
        <v>64</v>
      </c>
      <c r="B56" s="30" t="s">
        <v>75</v>
      </c>
      <c r="C56" s="31">
        <v>71.8</v>
      </c>
      <c r="D56" s="32"/>
      <c r="E56" s="32"/>
      <c r="F56" s="32"/>
      <c r="G56" s="32"/>
      <c r="H56" s="32"/>
      <c r="I56" s="32"/>
      <c r="J56" s="32"/>
      <c r="K56" s="90"/>
      <c r="L56" s="33">
        <f t="shared" si="7"/>
        <v>71.8</v>
      </c>
    </row>
    <row r="57" spans="1:14">
      <c r="A57" s="38" t="s">
        <v>65</v>
      </c>
      <c r="B57" s="30" t="s">
        <v>98</v>
      </c>
      <c r="C57" s="31">
        <v>1118.82</v>
      </c>
      <c r="D57" s="32"/>
      <c r="E57" s="32"/>
      <c r="F57" s="32"/>
      <c r="G57" s="32"/>
      <c r="H57" s="32"/>
      <c r="I57" s="32"/>
      <c r="J57" s="32"/>
      <c r="K57" s="90"/>
      <c r="L57" s="33">
        <f t="shared" si="7"/>
        <v>1118.82</v>
      </c>
    </row>
    <row r="58" spans="1:14">
      <c r="A58" s="38" t="s">
        <v>66</v>
      </c>
      <c r="B58" s="30" t="s">
        <v>82</v>
      </c>
      <c r="C58" s="31">
        <f>342.37+33.78</f>
        <v>376.15</v>
      </c>
      <c r="D58" s="32"/>
      <c r="E58" s="32"/>
      <c r="F58" s="32"/>
      <c r="G58" s="32"/>
      <c r="H58" s="32"/>
      <c r="I58" s="32"/>
      <c r="J58" s="32"/>
      <c r="K58" s="90"/>
      <c r="L58" s="33">
        <f t="shared" si="7"/>
        <v>376.15</v>
      </c>
    </row>
    <row r="59" spans="1:14" ht="16.5" thickBot="1">
      <c r="A59" s="38" t="s">
        <v>67</v>
      </c>
      <c r="B59" s="41" t="s">
        <v>113</v>
      </c>
      <c r="C59" s="40">
        <v>0</v>
      </c>
      <c r="D59" s="42"/>
      <c r="E59" s="42"/>
      <c r="F59" s="42"/>
      <c r="G59" s="42"/>
      <c r="H59" s="42"/>
      <c r="I59" s="42"/>
      <c r="J59" s="42"/>
      <c r="K59" s="92"/>
      <c r="L59" s="33">
        <f t="shared" si="7"/>
        <v>0</v>
      </c>
    </row>
    <row r="60" spans="1:14" ht="17.25" thickTop="1" thickBot="1">
      <c r="A60" s="189" t="s">
        <v>0</v>
      </c>
      <c r="B60" s="190"/>
      <c r="C60" s="61">
        <f>SUM(C38:C59)</f>
        <v>19112.760000000002</v>
      </c>
      <c r="D60" s="61">
        <f>SUM(D38:D59)</f>
        <v>0</v>
      </c>
      <c r="E60" s="61">
        <f>SUM(E38:E58)</f>
        <v>0</v>
      </c>
      <c r="F60" s="96">
        <f t="shared" ref="F60:L60" si="8">SUM(F38:F59)</f>
        <v>0</v>
      </c>
      <c r="G60" s="96">
        <f t="shared" si="8"/>
        <v>0</v>
      </c>
      <c r="H60" s="96">
        <f t="shared" si="8"/>
        <v>0</v>
      </c>
      <c r="I60" s="96">
        <f t="shared" si="8"/>
        <v>0</v>
      </c>
      <c r="J60" s="96">
        <f t="shared" si="8"/>
        <v>0</v>
      </c>
      <c r="K60" s="96">
        <f t="shared" si="8"/>
        <v>0</v>
      </c>
      <c r="L60" s="62">
        <f t="shared" si="8"/>
        <v>19112.760000000002</v>
      </c>
    </row>
    <row r="61" spans="1:14" ht="10.5" customHeight="1" thickTop="1" thickBot="1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1"/>
    </row>
    <row r="62" spans="1:14" ht="19.899999999999999" customHeight="1" thickTop="1" thickBot="1">
      <c r="A62" s="176" t="s">
        <v>35</v>
      </c>
      <c r="B62" s="177"/>
      <c r="C62" s="51">
        <f t="shared" ref="C62:L62" si="9">C27+C60</f>
        <v>21494</v>
      </c>
      <c r="D62" s="51">
        <f t="shared" si="9"/>
        <v>0</v>
      </c>
      <c r="E62" s="51">
        <f t="shared" si="9"/>
        <v>0</v>
      </c>
      <c r="F62" s="51">
        <f t="shared" si="9"/>
        <v>0</v>
      </c>
      <c r="G62" s="51">
        <f t="shared" si="9"/>
        <v>0</v>
      </c>
      <c r="H62" s="51">
        <f t="shared" si="9"/>
        <v>0</v>
      </c>
      <c r="I62" s="51">
        <f t="shared" si="9"/>
        <v>0</v>
      </c>
      <c r="J62" s="51">
        <f t="shared" si="9"/>
        <v>0</v>
      </c>
      <c r="K62" s="51">
        <f t="shared" si="9"/>
        <v>0</v>
      </c>
      <c r="L62" s="51">
        <f t="shared" si="9"/>
        <v>21494</v>
      </c>
      <c r="N62" s="68"/>
    </row>
    <row r="63" spans="1:14" ht="9.75" customHeight="1" thickTop="1" thickBot="1">
      <c r="A63" s="173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5"/>
    </row>
    <row r="64" spans="1:14" ht="17.25" thickTop="1" thickBot="1">
      <c r="A64" s="178" t="s">
        <v>36</v>
      </c>
      <c r="B64" s="179"/>
      <c r="C64" s="52">
        <f>C14-C62-614</f>
        <v>11201.590000000004</v>
      </c>
      <c r="D64" s="52">
        <f>D14-D62</f>
        <v>11201.590000000004</v>
      </c>
      <c r="E64" s="52">
        <f>E14-E62</f>
        <v>11201.590000000004</v>
      </c>
      <c r="F64" s="52">
        <f>F14-F62</f>
        <v>11201.590000000004</v>
      </c>
      <c r="G64" s="52">
        <f>G14-G62</f>
        <v>11201.590000000004</v>
      </c>
      <c r="H64" s="52">
        <f>H14-H62</f>
        <v>11201.590000000004</v>
      </c>
      <c r="I64" s="52">
        <f>I14-I62</f>
        <v>11201.590000000004</v>
      </c>
      <c r="J64" s="52">
        <f>J14-J62</f>
        <v>11201.590000000004</v>
      </c>
      <c r="K64" s="52">
        <f>K14-K62</f>
        <v>11201.590000000004</v>
      </c>
      <c r="L64" s="52"/>
    </row>
    <row r="65" spans="1:12" ht="16.5" thickTop="1">
      <c r="A65" s="20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>
      <c r="A66" s="20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C67" s="43"/>
      <c r="D67" s="43"/>
      <c r="K67" s="43"/>
    </row>
    <row r="69" spans="1:12">
      <c r="A69" s="181" t="s">
        <v>105</v>
      </c>
      <c r="B69" s="181"/>
      <c r="C69" s="172" t="s">
        <v>106</v>
      </c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ht="20.25">
      <c r="A70" s="182" t="s">
        <v>104</v>
      </c>
      <c r="B70" s="182"/>
      <c r="C70" s="83"/>
      <c r="D70" s="139" t="s">
        <v>69</v>
      </c>
      <c r="E70" s="138"/>
      <c r="F70" s="138"/>
      <c r="G70" s="138"/>
      <c r="H70" s="138"/>
      <c r="I70" s="138"/>
      <c r="J70" s="138"/>
      <c r="K70" s="138"/>
      <c r="L70" s="138"/>
    </row>
    <row r="71" spans="1:12" ht="20.25">
      <c r="A71" s="183" t="s">
        <v>107</v>
      </c>
      <c r="B71" s="183"/>
      <c r="C71" s="83"/>
      <c r="D71" s="140" t="s">
        <v>87</v>
      </c>
      <c r="E71" s="137"/>
      <c r="F71" s="137"/>
      <c r="G71" s="137"/>
      <c r="H71" s="137"/>
      <c r="I71" s="137"/>
      <c r="J71" s="137"/>
      <c r="K71" s="137"/>
      <c r="L71" s="137"/>
    </row>
    <row r="75" spans="1:12">
      <c r="C75" s="43"/>
    </row>
  </sheetData>
  <mergeCells count="18">
    <mergeCell ref="A71:B71"/>
    <mergeCell ref="A18:L18"/>
    <mergeCell ref="A27:B27"/>
    <mergeCell ref="A35:L35"/>
    <mergeCell ref="A60:B60"/>
    <mergeCell ref="A61:L61"/>
    <mergeCell ref="A62:B62"/>
    <mergeCell ref="A63:L63"/>
    <mergeCell ref="A64:B64"/>
    <mergeCell ref="A69:B69"/>
    <mergeCell ref="C69:L69"/>
    <mergeCell ref="A70:B70"/>
    <mergeCell ref="A17:L17"/>
    <mergeCell ref="A1:L2"/>
    <mergeCell ref="A3:L3"/>
    <mergeCell ref="A4:L4"/>
    <mergeCell ref="A14:B14"/>
    <mergeCell ref="A16:L16"/>
  </mergeCells>
  <pageMargins left="0.70866141732283472" right="0.31496062992125984" top="0.59055118110236227" bottom="0.19685039370078741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Folha Resumo</vt:lpstr>
      <vt:lpstr>Balancete-demonstrativo</vt:lpstr>
      <vt:lpstr>Plan1</vt:lpstr>
      <vt:lpstr>Plan2</vt:lpstr>
      <vt:lpstr>Plan3</vt:lpstr>
      <vt:lpstr>2014</vt:lpstr>
    </vt:vector>
  </TitlesOfParts>
  <Company>WWW.PORTALTRIBUTARIO.COM.BR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LIVRO CAIXA DE PESSOA FÍSICA</dc:title>
  <dc:creator>PORTAL TRIBUTÁRIO</dc:creator>
  <cp:lastModifiedBy>Deni</cp:lastModifiedBy>
  <cp:lastPrinted>2013-11-07T20:18:56Z</cp:lastPrinted>
  <dcterms:created xsi:type="dcterms:W3CDTF">2001-11-20T12:31:21Z</dcterms:created>
  <dcterms:modified xsi:type="dcterms:W3CDTF">2014-04-28T18:30:05Z</dcterms:modified>
</cp:coreProperties>
</file>